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69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455" i="1" l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4" i="1"/>
  <c r="C7323" i="1"/>
  <c r="C7322" i="1"/>
  <c r="C7321" i="1"/>
  <c r="C7320" i="1"/>
  <c r="C7319" i="1"/>
  <c r="C7318" i="1"/>
  <c r="C7317" i="1"/>
  <c r="C7316" i="1"/>
  <c r="C7315" i="1"/>
  <c r="C7314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39" i="1"/>
  <c r="C7238" i="1"/>
  <c r="C7236" i="1"/>
  <c r="C7234" i="1"/>
  <c r="C7233" i="1"/>
  <c r="C7232" i="1"/>
  <c r="C7231" i="1"/>
  <c r="C7230" i="1"/>
  <c r="C7229" i="1"/>
  <c r="C7228" i="1"/>
  <c r="C7227" i="1"/>
  <c r="C7226" i="1"/>
  <c r="C7225" i="1"/>
  <c r="C7224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7" i="1"/>
  <c r="C7206" i="1"/>
  <c r="C7205" i="1"/>
  <c r="C7204" i="1"/>
  <c r="C7203" i="1"/>
  <c r="C7202" i="1"/>
  <c r="C7201" i="1"/>
  <c r="C7200" i="1"/>
  <c r="C7199" i="1"/>
  <c r="C7197" i="1"/>
  <c r="C7196" i="1"/>
  <c r="C7195" i="1"/>
  <c r="C7194" i="1"/>
  <c r="C7193" i="1"/>
  <c r="C7192" i="1"/>
  <c r="C7191" i="1"/>
  <c r="C7189" i="1"/>
  <c r="C7188" i="1"/>
  <c r="C7187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1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2" i="1"/>
  <c r="C7031" i="1"/>
  <c r="C7030" i="1"/>
  <c r="C7029" i="1"/>
  <c r="C7028" i="1"/>
  <c r="C7027" i="1"/>
  <c r="C7026" i="1"/>
  <c r="C7025" i="1"/>
  <c r="C7024" i="1"/>
  <c r="C7023" i="1"/>
  <c r="C7022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3" i="1"/>
  <c r="C6842" i="1"/>
  <c r="C6841" i="1"/>
  <c r="C6840" i="1"/>
  <c r="C6839" i="1"/>
  <c r="C6838" i="1"/>
  <c r="C6837" i="1"/>
  <c r="C6836" i="1"/>
  <c r="C6835" i="1"/>
  <c r="C6834" i="1"/>
  <c r="C6833" i="1"/>
  <c r="C6831" i="1"/>
  <c r="C6830" i="1"/>
  <c r="C6829" i="1"/>
  <c r="C6828" i="1"/>
  <c r="C6827" i="1"/>
  <c r="C6826" i="1"/>
  <c r="C6825" i="1"/>
  <c r="C6823" i="1"/>
  <c r="C6822" i="1"/>
  <c r="C6821" i="1"/>
  <c r="C6820" i="1"/>
  <c r="C6819" i="1"/>
  <c r="C6818" i="1"/>
  <c r="C6817" i="1"/>
  <c r="C6816" i="1"/>
  <c r="C6814" i="1"/>
  <c r="C6813" i="1"/>
  <c r="C6812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1" i="1"/>
  <c r="C6760" i="1"/>
  <c r="C6759" i="1"/>
  <c r="C6758" i="1"/>
  <c r="C6757" i="1"/>
  <c r="C6756" i="1"/>
  <c r="C6755" i="1"/>
  <c r="C6754" i="1"/>
  <c r="C6753" i="1"/>
  <c r="C6752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4" i="1"/>
  <c r="C6543" i="1"/>
  <c r="C6541" i="1"/>
  <c r="C6540" i="1"/>
  <c r="C6539" i="1"/>
  <c r="C6538" i="1"/>
  <c r="C6537" i="1"/>
  <c r="C6536" i="1"/>
  <c r="C6535" i="1"/>
  <c r="C6534" i="1"/>
  <c r="C6533" i="1"/>
  <c r="C6532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4" i="1"/>
  <c r="C6513" i="1"/>
  <c r="C6512" i="1"/>
  <c r="C6511" i="1"/>
  <c r="C6510" i="1"/>
  <c r="C6509" i="1"/>
  <c r="C6508" i="1"/>
  <c r="C6507" i="1"/>
  <c r="C6506" i="1"/>
  <c r="C6505" i="1"/>
  <c r="C6504" i="1"/>
  <c r="C6502" i="1"/>
  <c r="C6501" i="1"/>
  <c r="C6500" i="1"/>
  <c r="C6499" i="1"/>
  <c r="C6498" i="1"/>
  <c r="C6497" i="1"/>
  <c r="C6496" i="1"/>
  <c r="C6495" i="1"/>
  <c r="C6494" i="1"/>
  <c r="C6493" i="1"/>
  <c r="C6492" i="1"/>
  <c r="C6490" i="1"/>
  <c r="C6489" i="1"/>
  <c r="C6488" i="1"/>
  <c r="C6486" i="1"/>
  <c r="C6485" i="1"/>
  <c r="C6484" i="1"/>
  <c r="C6483" i="1"/>
  <c r="C6482" i="1"/>
  <c r="C6481" i="1"/>
  <c r="C6479" i="1"/>
  <c r="C6478" i="1"/>
  <c r="C6477" i="1"/>
  <c r="C6475" i="1"/>
  <c r="C6474" i="1"/>
  <c r="C6473" i="1"/>
  <c r="C6472" i="1"/>
  <c r="C6471" i="1"/>
  <c r="C6469" i="1"/>
  <c r="C6468" i="1"/>
  <c r="C6467" i="1"/>
  <c r="C6466" i="1"/>
  <c r="C6465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6" i="1"/>
  <c r="C6444" i="1"/>
  <c r="C6443" i="1"/>
  <c r="C6442" i="1"/>
  <c r="C6441" i="1"/>
  <c r="C6439" i="1"/>
  <c r="C6438" i="1"/>
  <c r="C6436" i="1"/>
  <c r="C6434" i="1"/>
  <c r="C6433" i="1"/>
  <c r="C6432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0" i="1"/>
  <c r="C6359" i="1"/>
  <c r="C6358" i="1"/>
  <c r="C6357" i="1"/>
  <c r="C6356" i="1"/>
  <c r="C6355" i="1"/>
  <c r="C6354" i="1"/>
  <c r="C6352" i="1"/>
  <c r="C6351" i="1"/>
  <c r="C6349" i="1"/>
  <c r="C6348" i="1"/>
  <c r="C6347" i="1"/>
  <c r="C6346" i="1"/>
  <c r="C6345" i="1"/>
  <c r="C6344" i="1"/>
  <c r="C6343" i="1"/>
  <c r="C6342" i="1"/>
  <c r="C6341" i="1"/>
  <c r="C6339" i="1"/>
  <c r="C6337" i="1"/>
  <c r="C6336" i="1"/>
  <c r="C6335" i="1"/>
  <c r="C6334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6" i="1"/>
  <c r="C6315" i="1"/>
  <c r="C6314" i="1"/>
  <c r="C6313" i="1"/>
  <c r="C6312" i="1"/>
  <c r="C6310" i="1"/>
  <c r="C6309" i="1"/>
  <c r="C6308" i="1"/>
  <c r="C6306" i="1"/>
  <c r="C6304" i="1"/>
  <c r="C6303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0" i="1"/>
  <c r="C6189" i="1"/>
  <c r="C6188" i="1"/>
  <c r="C6187" i="1"/>
  <c r="C6186" i="1"/>
  <c r="C6185" i="1"/>
  <c r="C6183" i="1"/>
  <c r="C6182" i="1"/>
  <c r="C6181" i="1"/>
  <c r="C6180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59" i="1"/>
  <c r="C6158" i="1"/>
  <c r="C6157" i="1"/>
  <c r="C6155" i="1"/>
  <c r="C6154" i="1"/>
  <c r="C6152" i="1"/>
  <c r="C6150" i="1"/>
  <c r="C6149" i="1"/>
  <c r="C6148" i="1"/>
  <c r="C6147" i="1"/>
  <c r="C6145" i="1"/>
  <c r="C6144" i="1"/>
  <c r="C6143" i="1"/>
  <c r="C6142" i="1"/>
  <c r="C6141" i="1"/>
  <c r="C6140" i="1"/>
  <c r="C6138" i="1"/>
  <c r="C6137" i="1"/>
  <c r="C6136" i="1"/>
  <c r="C6135" i="1"/>
  <c r="C6134" i="1"/>
  <c r="C6132" i="1"/>
  <c r="C6131" i="1"/>
  <c r="C6130" i="1"/>
  <c r="C6129" i="1"/>
  <c r="C6128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6" i="1"/>
  <c r="C6105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79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7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39" i="1"/>
  <c r="C5938" i="1"/>
  <c r="C5937" i="1"/>
  <c r="C5936" i="1"/>
  <c r="C5935" i="1"/>
  <c r="C5934" i="1"/>
  <c r="C5933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4" i="1"/>
  <c r="C5913" i="1"/>
  <c r="C5912" i="1"/>
  <c r="C5911" i="1"/>
  <c r="C5910" i="1"/>
  <c r="C5909" i="1"/>
  <c r="C5907" i="1"/>
  <c r="C5906" i="1"/>
  <c r="C5905" i="1"/>
  <c r="C5904" i="1"/>
  <c r="C5903" i="1"/>
  <c r="C5902" i="1"/>
  <c r="C5901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39" i="1"/>
  <c r="C5838" i="1"/>
  <c r="C5837" i="1"/>
  <c r="C5836" i="1"/>
  <c r="C5835" i="1"/>
  <c r="C5834" i="1"/>
  <c r="C5833" i="1"/>
  <c r="C5832" i="1"/>
  <c r="C5831" i="1"/>
  <c r="C5830" i="1"/>
  <c r="C5829" i="1"/>
  <c r="C5827" i="1"/>
  <c r="C5826" i="1"/>
  <c r="C5825" i="1"/>
  <c r="C5824" i="1"/>
  <c r="C5823" i="1"/>
  <c r="C5822" i="1"/>
  <c r="C5821" i="1"/>
  <c r="C5820" i="1"/>
  <c r="C5819" i="1"/>
  <c r="C5818" i="1"/>
  <c r="C5816" i="1"/>
  <c r="C5815" i="1"/>
  <c r="C5814" i="1"/>
  <c r="C5813" i="1"/>
  <c r="C5812" i="1"/>
  <c r="C5811" i="1"/>
  <c r="C5810" i="1"/>
  <c r="C5809" i="1"/>
  <c r="C5807" i="1"/>
  <c r="C5806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0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6" i="1"/>
  <c r="C5705" i="1"/>
  <c r="C5704" i="1"/>
  <c r="C5703" i="1"/>
  <c r="C5702" i="1"/>
  <c r="C5700" i="1"/>
  <c r="C5698" i="1"/>
  <c r="C5697" i="1"/>
  <c r="C5696" i="1"/>
  <c r="C5695" i="1"/>
  <c r="C5694" i="1"/>
  <c r="C5693" i="1"/>
  <c r="C5692" i="1"/>
  <c r="C5691" i="1"/>
  <c r="C5690" i="1"/>
  <c r="C5689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3" i="1"/>
  <c r="C5672" i="1"/>
  <c r="C5671" i="1"/>
  <c r="C5670" i="1"/>
  <c r="C5668" i="1"/>
  <c r="C5667" i="1"/>
  <c r="C5666" i="1"/>
  <c r="C5665" i="1"/>
  <c r="C5664" i="1"/>
  <c r="C5663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2" i="1"/>
  <c r="C5641" i="1"/>
  <c r="C5640" i="1"/>
  <c r="C5639" i="1"/>
  <c r="C5638" i="1"/>
  <c r="C5637" i="1"/>
  <c r="C5636" i="1"/>
  <c r="C5635" i="1"/>
  <c r="C5634" i="1"/>
  <c r="C5633" i="1"/>
  <c r="C5631" i="1"/>
  <c r="C5630" i="1"/>
  <c r="C5629" i="1"/>
  <c r="C5627" i="1"/>
  <c r="C5626" i="1"/>
  <c r="C5624" i="1"/>
  <c r="C5623" i="1"/>
  <c r="C5622" i="1"/>
  <c r="C5621" i="1"/>
  <c r="C5620" i="1"/>
  <c r="C5619" i="1"/>
  <c r="C5618" i="1"/>
  <c r="C5616" i="1"/>
  <c r="C5615" i="1"/>
  <c r="C5614" i="1"/>
  <c r="C5613" i="1"/>
  <c r="C5612" i="1"/>
  <c r="C5611" i="1"/>
  <c r="C5609" i="1"/>
  <c r="C5608" i="1"/>
  <c r="C5607" i="1"/>
  <c r="C5606" i="1"/>
  <c r="C5605" i="1"/>
  <c r="C5604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69" i="1"/>
  <c r="C5568" i="1"/>
  <c r="C5567" i="1"/>
  <c r="C5566" i="1"/>
  <c r="C5565" i="1"/>
  <c r="C5564" i="1"/>
  <c r="C5563" i="1"/>
  <c r="C5562" i="1"/>
  <c r="C5561" i="1"/>
  <c r="C5560" i="1"/>
  <c r="C5559" i="1"/>
  <c r="C5557" i="1"/>
  <c r="C5555" i="1"/>
  <c r="C5554" i="1"/>
  <c r="C5553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7" i="1"/>
  <c r="C5486" i="1"/>
  <c r="C5485" i="1"/>
  <c r="C5484" i="1"/>
  <c r="C5483" i="1"/>
  <c r="C5482" i="1"/>
  <c r="C5481" i="1"/>
  <c r="C5480" i="1"/>
  <c r="C5479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0" i="1"/>
  <c r="C5459" i="1"/>
  <c r="C5457" i="1"/>
  <c r="C5456" i="1"/>
  <c r="C5455" i="1"/>
  <c r="C5454" i="1"/>
  <c r="C5453" i="1"/>
  <c r="C5452" i="1"/>
  <c r="C5451" i="1"/>
  <c r="C5449" i="1"/>
  <c r="C5448" i="1"/>
  <c r="C5447" i="1"/>
  <c r="C5446" i="1"/>
  <c r="C5444" i="1"/>
  <c r="C5442" i="1"/>
  <c r="C5441" i="1"/>
  <c r="C5440" i="1"/>
  <c r="C5439" i="1"/>
  <c r="C5438" i="1"/>
  <c r="C5437" i="1"/>
  <c r="C5436" i="1"/>
  <c r="C5435" i="1"/>
  <c r="C5434" i="1"/>
  <c r="C5432" i="1"/>
  <c r="C5431" i="1"/>
  <c r="C5430" i="1"/>
  <c r="C5429" i="1"/>
  <c r="C5428" i="1"/>
  <c r="C5427" i="1"/>
  <c r="C5426" i="1"/>
  <c r="C5425" i="1"/>
  <c r="C5424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09" i="1"/>
  <c r="C5408" i="1"/>
  <c r="C5407" i="1"/>
  <c r="C5405" i="1"/>
  <c r="C5403" i="1"/>
  <c r="C5402" i="1"/>
  <c r="C5401" i="1"/>
  <c r="C5399" i="1"/>
  <c r="C5398" i="1"/>
  <c r="C5396" i="1"/>
  <c r="C5394" i="1"/>
  <c r="C5393" i="1"/>
  <c r="C5391" i="1"/>
  <c r="C5390" i="1"/>
  <c r="C5388" i="1"/>
  <c r="C5387" i="1"/>
  <c r="C5386" i="1"/>
  <c r="C5384" i="1"/>
  <c r="C5383" i="1"/>
  <c r="C5382" i="1"/>
  <c r="C5381" i="1"/>
  <c r="C5379" i="1"/>
  <c r="C5377" i="1"/>
  <c r="C5376" i="1"/>
  <c r="C5375" i="1"/>
  <c r="C5374" i="1"/>
  <c r="C5372" i="1"/>
  <c r="C5371" i="1"/>
  <c r="C5370" i="1"/>
  <c r="C5369" i="1"/>
  <c r="C5368" i="1"/>
  <c r="C5367" i="1"/>
  <c r="C5365" i="1"/>
  <c r="C5364" i="1"/>
  <c r="C5363" i="1"/>
  <c r="C5362" i="1"/>
  <c r="C5361" i="1"/>
  <c r="C5360" i="1"/>
  <c r="C5359" i="1"/>
  <c r="C5358" i="1"/>
  <c r="C5357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8" i="1"/>
  <c r="C5327" i="1"/>
  <c r="C5326" i="1"/>
  <c r="C5325" i="1"/>
  <c r="C5324" i="1"/>
  <c r="C5323" i="1"/>
  <c r="C5322" i="1"/>
  <c r="C5321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5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7" i="1"/>
  <c r="C5256" i="1"/>
  <c r="C5255" i="1"/>
  <c r="C5254" i="1"/>
  <c r="C5253" i="1"/>
  <c r="C5252" i="1"/>
  <c r="C5251" i="1"/>
  <c r="C5250" i="1"/>
  <c r="C5249" i="1"/>
  <c r="C5248" i="1"/>
  <c r="C5247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2" i="1"/>
  <c r="C5231" i="1"/>
  <c r="C5230" i="1"/>
  <c r="C5229" i="1"/>
  <c r="C5228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3" i="1"/>
  <c r="C5192" i="1"/>
  <c r="C5191" i="1"/>
  <c r="C5189" i="1"/>
  <c r="C5188" i="1"/>
  <c r="C5187" i="1"/>
  <c r="C5186" i="1"/>
  <c r="C5185" i="1"/>
  <c r="C5184" i="1"/>
  <c r="C5183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2" i="1"/>
  <c r="C5161" i="1"/>
  <c r="C5160" i="1"/>
  <c r="C5159" i="1"/>
  <c r="C5158" i="1"/>
  <c r="C5157" i="1"/>
  <c r="C5156" i="1"/>
  <c r="C5155" i="1"/>
  <c r="C5154" i="1"/>
  <c r="C5153" i="1"/>
  <c r="C5152" i="1"/>
  <c r="C5150" i="1"/>
  <c r="C5149" i="1"/>
  <c r="C5148" i="1"/>
  <c r="C5147" i="1"/>
  <c r="C5146" i="1"/>
  <c r="C5145" i="1"/>
  <c r="C5144" i="1"/>
  <c r="C5143" i="1"/>
  <c r="C5141" i="1"/>
  <c r="C5140" i="1"/>
  <c r="C5139" i="1"/>
  <c r="C5138" i="1"/>
  <c r="C5137" i="1"/>
  <c r="C5136" i="1"/>
  <c r="C5135" i="1"/>
  <c r="C5133" i="1"/>
  <c r="C5132" i="1"/>
  <c r="C5131" i="1"/>
  <c r="C5130" i="1"/>
  <c r="C5128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2" i="1"/>
  <c r="C5051" i="1"/>
  <c r="C5050" i="1"/>
  <c r="C5049" i="1"/>
  <c r="C5048" i="1"/>
  <c r="C5047" i="1"/>
  <c r="C5046" i="1"/>
  <c r="C5045" i="1"/>
  <c r="C5043" i="1"/>
  <c r="C5042" i="1"/>
  <c r="C5041" i="1"/>
  <c r="C5040" i="1"/>
  <c r="C5039" i="1"/>
  <c r="C5037" i="1"/>
  <c r="C5036" i="1"/>
  <c r="C5035" i="1"/>
  <c r="C5034" i="1"/>
  <c r="C5033" i="1"/>
  <c r="C5032" i="1"/>
  <c r="C5031" i="1"/>
  <c r="C5030" i="1"/>
  <c r="C5029" i="1"/>
  <c r="C5027" i="1"/>
  <c r="C5026" i="1"/>
  <c r="C5025" i="1"/>
  <c r="C5024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1" i="1"/>
  <c r="C4999" i="1"/>
  <c r="C4998" i="1"/>
  <c r="C4997" i="1"/>
  <c r="C4995" i="1"/>
  <c r="C4994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6" i="1"/>
  <c r="C4935" i="1"/>
  <c r="C4934" i="1"/>
  <c r="C4933" i="1"/>
  <c r="C4932" i="1"/>
  <c r="C4931" i="1"/>
  <c r="C4929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3" i="1"/>
  <c r="C4862" i="1"/>
  <c r="C4861" i="1"/>
  <c r="C4860" i="1"/>
  <c r="C4859" i="1"/>
  <c r="C4858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4" i="1"/>
  <c r="C4833" i="1"/>
  <c r="C4832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5" i="1"/>
  <c r="C4783" i="1"/>
  <c r="C4782" i="1"/>
  <c r="C4781" i="1"/>
  <c r="C4780" i="1"/>
  <c r="C4779" i="1"/>
  <c r="C4778" i="1"/>
  <c r="C4777" i="1"/>
  <c r="C4776" i="1"/>
  <c r="C4774" i="1"/>
  <c r="C4772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3" i="1"/>
  <c r="C4632" i="1"/>
  <c r="C4630" i="1"/>
  <c r="C4629" i="1"/>
  <c r="C4628" i="1"/>
  <c r="C4627" i="1"/>
  <c r="C4626" i="1"/>
  <c r="C4625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5" i="1"/>
  <c r="C4604" i="1"/>
  <c r="C4603" i="1"/>
  <c r="C4602" i="1"/>
  <c r="C4601" i="1"/>
  <c r="C4600" i="1"/>
  <c r="C4599" i="1"/>
  <c r="C4598" i="1"/>
  <c r="C4596" i="1"/>
  <c r="C4594" i="1"/>
  <c r="C4593" i="1"/>
  <c r="C4592" i="1"/>
  <c r="C4590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2" i="1"/>
  <c r="C4571" i="1"/>
  <c r="C4570" i="1"/>
  <c r="C4569" i="1"/>
  <c r="C4568" i="1"/>
  <c r="C4567" i="1"/>
  <c r="C4566" i="1"/>
  <c r="C4565" i="1"/>
  <c r="C4564" i="1"/>
  <c r="C4562" i="1"/>
  <c r="C4561" i="1"/>
  <c r="C4560" i="1"/>
  <c r="C4559" i="1"/>
  <c r="C4558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8" i="1"/>
  <c r="C4327" i="1"/>
  <c r="C4326" i="1"/>
  <c r="C4325" i="1"/>
  <c r="C4324" i="1"/>
  <c r="C4322" i="1"/>
  <c r="C4321" i="1"/>
  <c r="C4320" i="1"/>
  <c r="C4319" i="1"/>
  <c r="C4318" i="1"/>
  <c r="C4317" i="1"/>
  <c r="C4316" i="1"/>
  <c r="C4314" i="1"/>
  <c r="C4313" i="1"/>
  <c r="C4311" i="1"/>
  <c r="C4310" i="1"/>
  <c r="C4309" i="1"/>
  <c r="C4308" i="1"/>
  <c r="C4307" i="1"/>
  <c r="C4306" i="1"/>
  <c r="C4305" i="1"/>
  <c r="C4304" i="1"/>
  <c r="C4303" i="1"/>
  <c r="C4301" i="1"/>
  <c r="C4300" i="1"/>
  <c r="C4299" i="1"/>
  <c r="C4298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2" i="1"/>
  <c r="C4281" i="1"/>
  <c r="C4280" i="1"/>
  <c r="C4279" i="1"/>
  <c r="C4278" i="1"/>
  <c r="C4276" i="1"/>
  <c r="C4275" i="1"/>
  <c r="C4274" i="1"/>
  <c r="C4273" i="1"/>
  <c r="C4271" i="1"/>
  <c r="C4269" i="1"/>
  <c r="C4268" i="1"/>
  <c r="C4267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1" i="1"/>
  <c r="C4250" i="1"/>
  <c r="C4249" i="1"/>
  <c r="C4248" i="1"/>
  <c r="C4246" i="1"/>
  <c r="C4244" i="1"/>
  <c r="C4243" i="1"/>
  <c r="C4242" i="1"/>
  <c r="C4241" i="1"/>
  <c r="C4240" i="1"/>
  <c r="C4238" i="1"/>
  <c r="C4237" i="1"/>
  <c r="C4236" i="1"/>
  <c r="C4235" i="1"/>
  <c r="C4234" i="1"/>
  <c r="C4233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89" i="1"/>
  <c r="C4188" i="1"/>
  <c r="C4187" i="1"/>
  <c r="C4186" i="1"/>
  <c r="C4184" i="1"/>
  <c r="C4183" i="1"/>
  <c r="C4182" i="1"/>
  <c r="C4181" i="1"/>
  <c r="C4180" i="1"/>
  <c r="C4178" i="1"/>
  <c r="C4177" i="1"/>
  <c r="C4176" i="1"/>
  <c r="C4175" i="1"/>
  <c r="C4174" i="1"/>
  <c r="C4172" i="1"/>
  <c r="C4170" i="1"/>
  <c r="C4169" i="1"/>
  <c r="C4168" i="1"/>
  <c r="C4167" i="1"/>
  <c r="C4166" i="1"/>
  <c r="C4165" i="1"/>
  <c r="C4163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19" i="1"/>
  <c r="C4117" i="1"/>
  <c r="C4116" i="1"/>
  <c r="C4115" i="1"/>
  <c r="C4114" i="1"/>
  <c r="C4113" i="1"/>
  <c r="C4112" i="1"/>
  <c r="C4111" i="1"/>
  <c r="C4110" i="1"/>
  <c r="C4109" i="1"/>
  <c r="C4108" i="1"/>
  <c r="C4107" i="1"/>
  <c r="C4105" i="1"/>
  <c r="C4103" i="1"/>
  <c r="C4102" i="1"/>
  <c r="C4101" i="1"/>
  <c r="C4100" i="1"/>
  <c r="C4099" i="1"/>
  <c r="C4098" i="1"/>
  <c r="C4096" i="1"/>
  <c r="C4094" i="1"/>
  <c r="C4093" i="1"/>
  <c r="C4092" i="1"/>
  <c r="C4091" i="1"/>
  <c r="C4090" i="1"/>
  <c r="C4089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5" i="1"/>
  <c r="C4034" i="1"/>
  <c r="C4033" i="1"/>
  <c r="C4032" i="1"/>
  <c r="C4031" i="1"/>
  <c r="C4030" i="1"/>
  <c r="C4029" i="1"/>
  <c r="C4028" i="1"/>
  <c r="C4026" i="1"/>
  <c r="C4025" i="1"/>
  <c r="C4024" i="1"/>
  <c r="C4023" i="1"/>
  <c r="C4022" i="1"/>
  <c r="C4021" i="1"/>
  <c r="C4020" i="1"/>
  <c r="C4019" i="1"/>
  <c r="C4018" i="1"/>
  <c r="C4017" i="1"/>
  <c r="C4015" i="1"/>
  <c r="C4014" i="1"/>
  <c r="C4013" i="1"/>
  <c r="C4011" i="1"/>
  <c r="C4010" i="1"/>
  <c r="C4009" i="1"/>
  <c r="C4008" i="1"/>
  <c r="C4007" i="1"/>
  <c r="C4006" i="1"/>
  <c r="C4005" i="1"/>
  <c r="C4004" i="1"/>
  <c r="C4002" i="1"/>
  <c r="C4001" i="1"/>
  <c r="C4000" i="1"/>
  <c r="C3999" i="1"/>
  <c r="C3998" i="1"/>
  <c r="C3997" i="1"/>
  <c r="C3996" i="1"/>
  <c r="C3994" i="1"/>
  <c r="C3993" i="1"/>
  <c r="C3992" i="1"/>
  <c r="C3991" i="1"/>
  <c r="C3990" i="1"/>
  <c r="C3989" i="1"/>
  <c r="C3988" i="1"/>
  <c r="C3987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899" i="1"/>
  <c r="C3898" i="1"/>
  <c r="C3897" i="1"/>
  <c r="C3896" i="1"/>
  <c r="C3895" i="1"/>
  <c r="C3894" i="1"/>
  <c r="C3893" i="1"/>
  <c r="C3892" i="1"/>
  <c r="C3890" i="1"/>
  <c r="C3889" i="1"/>
  <c r="C3888" i="1"/>
  <c r="C3887" i="1"/>
  <c r="C3886" i="1"/>
  <c r="C3885" i="1"/>
  <c r="C3884" i="1"/>
  <c r="C3883" i="1"/>
  <c r="C3881" i="1"/>
  <c r="C3880" i="1"/>
  <c r="C3879" i="1"/>
  <c r="C3878" i="1"/>
  <c r="C3877" i="1"/>
  <c r="C3876" i="1"/>
  <c r="C3875" i="1"/>
  <c r="C3874" i="1"/>
  <c r="C3873" i="1"/>
  <c r="C3872" i="1"/>
  <c r="C3870" i="1"/>
  <c r="C3869" i="1"/>
  <c r="C3868" i="1"/>
  <c r="C3867" i="1"/>
  <c r="C3866" i="1"/>
  <c r="C3864" i="1"/>
  <c r="C3863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6" i="1"/>
  <c r="C3845" i="1"/>
  <c r="C3844" i="1"/>
  <c r="C3843" i="1"/>
  <c r="C3842" i="1"/>
  <c r="C3841" i="1"/>
  <c r="C3840" i="1"/>
  <c r="C3839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4" i="1"/>
  <c r="C3803" i="1"/>
  <c r="C3802" i="1"/>
  <c r="C3801" i="1"/>
  <c r="C3800" i="1"/>
  <c r="C3799" i="1"/>
  <c r="C3798" i="1"/>
  <c r="C3797" i="1"/>
  <c r="C3796" i="1"/>
  <c r="C3794" i="1"/>
  <c r="C3793" i="1"/>
  <c r="C3791" i="1"/>
  <c r="C3790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3" i="1"/>
  <c r="C3771" i="1"/>
  <c r="C3770" i="1"/>
  <c r="C3769" i="1"/>
  <c r="C3768" i="1"/>
  <c r="C3767" i="1"/>
  <c r="C3766" i="1"/>
  <c r="C3765" i="1"/>
  <c r="C3764" i="1"/>
  <c r="C3762" i="1"/>
  <c r="C3761" i="1"/>
  <c r="C3760" i="1"/>
  <c r="C3758" i="1"/>
  <c r="C3757" i="1"/>
  <c r="C3756" i="1"/>
  <c r="C3755" i="1"/>
  <c r="C3754" i="1"/>
  <c r="C3752" i="1"/>
  <c r="C3751" i="1"/>
  <c r="C3750" i="1"/>
  <c r="C3748" i="1"/>
  <c r="C3747" i="1"/>
  <c r="C3746" i="1"/>
  <c r="C3745" i="1"/>
  <c r="C3744" i="1"/>
  <c r="C3743" i="1"/>
  <c r="C3742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0" i="1"/>
  <c r="C3679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0" i="1"/>
  <c r="C3629" i="1"/>
  <c r="C3628" i="1"/>
  <c r="C3627" i="1"/>
  <c r="C3626" i="1"/>
  <c r="C3625" i="1"/>
  <c r="C3624" i="1"/>
  <c r="C3622" i="1"/>
  <c r="C3621" i="1"/>
  <c r="C3620" i="1"/>
  <c r="C3619" i="1"/>
  <c r="C3618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5" i="1"/>
  <c r="C3534" i="1"/>
  <c r="C3532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3" i="1"/>
  <c r="C3512" i="1"/>
  <c r="C3511" i="1"/>
  <c r="C3510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4" i="1"/>
  <c r="C3493" i="1"/>
  <c r="C3492" i="1"/>
  <c r="C3491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3" i="1"/>
  <c r="C3401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89" i="1"/>
  <c r="C3288" i="1"/>
  <c r="C3286" i="1"/>
  <c r="C3285" i="1"/>
  <c r="C3284" i="1"/>
  <c r="C3283" i="1"/>
  <c r="C3282" i="1"/>
  <c r="C3281" i="1"/>
  <c r="C3280" i="1"/>
  <c r="C3279" i="1"/>
  <c r="C3278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39" i="1"/>
  <c r="C3238" i="1"/>
  <c r="C3237" i="1"/>
  <c r="C3236" i="1"/>
  <c r="C3235" i="1"/>
  <c r="C3234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19" i="1"/>
  <c r="C3218" i="1"/>
  <c r="C3217" i="1"/>
  <c r="C3216" i="1"/>
  <c r="C3215" i="1"/>
  <c r="C3213" i="1"/>
  <c r="C3212" i="1"/>
  <c r="C3210" i="1"/>
  <c r="C3209" i="1"/>
  <c r="C3208" i="1"/>
  <c r="C3207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6" i="1"/>
  <c r="C3175" i="1"/>
  <c r="C3174" i="1"/>
  <c r="C3173" i="1"/>
  <c r="C3172" i="1"/>
  <c r="C3171" i="1"/>
  <c r="C3170" i="1"/>
  <c r="C3169" i="1"/>
  <c r="C3168" i="1"/>
  <c r="C3167" i="1"/>
  <c r="C3166" i="1"/>
  <c r="C3164" i="1"/>
  <c r="C3163" i="1"/>
  <c r="C3162" i="1"/>
  <c r="C3161" i="1"/>
  <c r="C3160" i="1"/>
  <c r="C3159" i="1"/>
  <c r="C3158" i="1"/>
  <c r="C3157" i="1"/>
  <c r="C3155" i="1"/>
  <c r="C3154" i="1"/>
  <c r="C3153" i="1"/>
  <c r="C3152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8" i="1"/>
  <c r="C3047" i="1"/>
  <c r="C3046" i="1"/>
  <c r="C3045" i="1"/>
  <c r="C3044" i="1"/>
  <c r="C3042" i="1"/>
  <c r="C3041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5" i="1"/>
  <c r="C2994" i="1"/>
  <c r="C2993" i="1"/>
  <c r="C2991" i="1"/>
  <c r="C2990" i="1"/>
  <c r="C2989" i="1"/>
  <c r="C2988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6" i="1"/>
  <c r="C2875" i="1"/>
  <c r="C2874" i="1"/>
  <c r="C2873" i="1"/>
  <c r="C2872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5" i="1"/>
  <c r="C2834" i="1"/>
  <c r="C2833" i="1"/>
  <c r="C2832" i="1"/>
  <c r="C2831" i="1"/>
  <c r="C2830" i="1"/>
  <c r="C2829" i="1"/>
  <c r="C2828" i="1"/>
  <c r="C2826" i="1"/>
  <c r="C2825" i="1"/>
  <c r="C2823" i="1"/>
  <c r="C2822" i="1"/>
  <c r="C2821" i="1"/>
  <c r="C2820" i="1"/>
  <c r="C2819" i="1"/>
  <c r="C2818" i="1"/>
  <c r="C2816" i="1"/>
  <c r="C2815" i="1"/>
  <c r="C2814" i="1"/>
  <c r="C2813" i="1"/>
  <c r="C2812" i="1"/>
  <c r="C2811" i="1"/>
  <c r="C2809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4" i="1"/>
  <c r="C2792" i="1"/>
  <c r="C2790" i="1"/>
  <c r="C2789" i="1"/>
  <c r="C2787" i="1"/>
  <c r="C2785" i="1"/>
  <c r="C2784" i="1"/>
  <c r="C2783" i="1"/>
  <c r="C2782" i="1"/>
  <c r="C2781" i="1"/>
  <c r="C2780" i="1"/>
  <c r="C2779" i="1"/>
  <c r="C2778" i="1"/>
  <c r="C2777" i="1"/>
  <c r="C2776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1" i="1"/>
  <c r="C2760" i="1"/>
  <c r="C2759" i="1"/>
  <c r="C2758" i="1"/>
  <c r="C2756" i="1"/>
  <c r="C2755" i="1"/>
  <c r="C2754" i="1"/>
  <c r="C2753" i="1"/>
  <c r="C2752" i="1"/>
  <c r="C2750" i="1"/>
  <c r="C2749" i="1"/>
  <c r="C2748" i="1"/>
  <c r="C2747" i="1"/>
  <c r="C2746" i="1"/>
  <c r="C2744" i="1"/>
  <c r="C2743" i="1"/>
  <c r="C2741" i="1"/>
  <c r="C2740" i="1"/>
  <c r="C2738" i="1"/>
  <c r="C2736" i="1"/>
  <c r="C2735" i="1"/>
  <c r="C2734" i="1"/>
  <c r="C2733" i="1"/>
  <c r="C2732" i="1"/>
  <c r="C2731" i="1"/>
  <c r="C2730" i="1"/>
  <c r="C2728" i="1"/>
  <c r="C2727" i="1"/>
  <c r="C2726" i="1"/>
  <c r="C2725" i="1"/>
  <c r="C2724" i="1"/>
  <c r="C2723" i="1"/>
  <c r="C2722" i="1"/>
  <c r="C2721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5" i="1"/>
  <c r="C2704" i="1"/>
  <c r="C2703" i="1"/>
  <c r="C2701" i="1"/>
  <c r="C2700" i="1"/>
  <c r="C2698" i="1"/>
  <c r="C2697" i="1"/>
  <c r="C2696" i="1"/>
  <c r="C2694" i="1"/>
  <c r="C2693" i="1"/>
  <c r="C2692" i="1"/>
  <c r="C2690" i="1"/>
  <c r="C2689" i="1"/>
  <c r="C2688" i="1"/>
  <c r="C2687" i="1"/>
  <c r="C2686" i="1"/>
  <c r="C2685" i="1"/>
  <c r="C2684" i="1"/>
  <c r="C2683" i="1"/>
  <c r="C2682" i="1"/>
  <c r="C2681" i="1"/>
  <c r="C2680" i="1"/>
  <c r="C2678" i="1"/>
  <c r="C2677" i="1"/>
  <c r="C2676" i="1"/>
  <c r="C2675" i="1"/>
  <c r="C2674" i="1"/>
  <c r="C2673" i="1"/>
  <c r="C2671" i="1"/>
  <c r="C2670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7" i="1"/>
  <c r="C2636" i="1"/>
  <c r="C2635" i="1"/>
  <c r="C2634" i="1"/>
  <c r="C2632" i="1"/>
  <c r="C2631" i="1"/>
  <c r="C2629" i="1"/>
  <c r="C2628" i="1"/>
  <c r="C2626" i="1"/>
  <c r="C2625" i="1"/>
  <c r="C2624" i="1"/>
  <c r="C2623" i="1"/>
  <c r="C2622" i="1"/>
  <c r="C2620" i="1"/>
  <c r="C2619" i="1"/>
  <c r="C2618" i="1"/>
  <c r="C2617" i="1"/>
  <c r="C2616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6" i="1"/>
  <c r="C2595" i="1"/>
  <c r="C2594" i="1"/>
  <c r="C2593" i="1"/>
  <c r="C2592" i="1"/>
  <c r="C2591" i="1"/>
  <c r="C2590" i="1"/>
  <c r="C2589" i="1"/>
  <c r="C2588" i="1"/>
  <c r="C2587" i="1"/>
  <c r="C2585" i="1"/>
  <c r="C2584" i="1"/>
  <c r="C2583" i="1"/>
  <c r="C2582" i="1"/>
  <c r="C2581" i="1"/>
  <c r="C2580" i="1"/>
  <c r="C2579" i="1"/>
  <c r="C2578" i="1"/>
  <c r="C2577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1" i="1"/>
  <c r="C2560" i="1"/>
  <c r="C2559" i="1"/>
  <c r="C2558" i="1"/>
  <c r="C2557" i="1"/>
  <c r="C2556" i="1"/>
  <c r="C2555" i="1"/>
  <c r="C2554" i="1"/>
  <c r="C2553" i="1"/>
  <c r="C2552" i="1"/>
  <c r="C2551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2" i="1"/>
  <c r="C2531" i="1"/>
  <c r="C2530" i="1"/>
  <c r="C2529" i="1"/>
  <c r="C2528" i="1"/>
  <c r="C2527" i="1"/>
  <c r="C2526" i="1"/>
  <c r="C2525" i="1"/>
  <c r="C2524" i="1"/>
  <c r="C2523" i="1"/>
  <c r="C2522" i="1"/>
  <c r="C2520" i="1"/>
  <c r="C2519" i="1"/>
  <c r="C2518" i="1"/>
  <c r="C2517" i="1"/>
  <c r="C2516" i="1"/>
  <c r="C2515" i="1"/>
  <c r="C2513" i="1"/>
  <c r="C2511" i="1"/>
  <c r="C2510" i="1"/>
  <c r="C2508" i="1"/>
  <c r="C2507" i="1"/>
  <c r="C2506" i="1"/>
  <c r="C2504" i="1"/>
  <c r="C2503" i="1"/>
  <c r="C2501" i="1"/>
  <c r="C2500" i="1"/>
  <c r="C2499" i="1"/>
  <c r="C2498" i="1"/>
  <c r="C2497" i="1"/>
  <c r="C2496" i="1"/>
  <c r="C2495" i="1"/>
  <c r="C2494" i="1"/>
  <c r="C2493" i="1"/>
  <c r="C2492" i="1"/>
  <c r="C2491" i="1"/>
  <c r="C2489" i="1"/>
  <c r="C2488" i="1"/>
  <c r="C2487" i="1"/>
  <c r="C2486" i="1"/>
  <c r="C2485" i="1"/>
  <c r="C2484" i="1"/>
  <c r="C2483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4" i="1"/>
  <c r="C2463" i="1"/>
  <c r="C2462" i="1"/>
  <c r="C2461" i="1"/>
  <c r="C2459" i="1"/>
  <c r="C2458" i="1"/>
  <c r="C2457" i="1"/>
  <c r="C2456" i="1"/>
  <c r="C2455" i="1"/>
  <c r="C2454" i="1"/>
  <c r="C2453" i="1"/>
  <c r="C2452" i="1"/>
  <c r="C2451" i="1"/>
  <c r="C2450" i="1"/>
  <c r="C2448" i="1"/>
  <c r="C2447" i="1"/>
  <c r="C2446" i="1"/>
  <c r="C2445" i="1"/>
  <c r="C2444" i="1"/>
  <c r="C2443" i="1"/>
  <c r="C2441" i="1"/>
  <c r="C2440" i="1"/>
  <c r="C2439" i="1"/>
  <c r="C2438" i="1"/>
  <c r="C2437" i="1"/>
  <c r="C2435" i="1"/>
  <c r="C2433" i="1"/>
  <c r="C2431" i="1"/>
  <c r="C2429" i="1"/>
  <c r="C2428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7" i="1"/>
  <c r="C2405" i="1"/>
  <c r="C2404" i="1"/>
  <c r="C2403" i="1"/>
  <c r="C2402" i="1"/>
  <c r="C2401" i="1"/>
  <c r="C2400" i="1"/>
  <c r="C2399" i="1"/>
  <c r="C2398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79" i="1"/>
  <c r="C2378" i="1"/>
  <c r="C2377" i="1"/>
  <c r="C2376" i="1"/>
  <c r="C2375" i="1"/>
  <c r="C2374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3" i="1"/>
  <c r="C2352" i="1"/>
  <c r="C2351" i="1"/>
  <c r="C2350" i="1"/>
  <c r="C2349" i="1"/>
  <c r="C2348" i="1"/>
  <c r="C2347" i="1"/>
  <c r="C2345" i="1"/>
  <c r="C2344" i="1"/>
  <c r="C2343" i="1"/>
  <c r="C2342" i="1"/>
  <c r="C2341" i="1"/>
  <c r="C2340" i="1"/>
  <c r="C2339" i="1"/>
  <c r="C2338" i="1"/>
  <c r="C2337" i="1"/>
  <c r="C2336" i="1"/>
  <c r="C2334" i="1"/>
  <c r="C2333" i="1"/>
  <c r="C2332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8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8" i="1"/>
  <c r="C2197" i="1"/>
  <c r="C2196" i="1"/>
  <c r="C2195" i="1"/>
  <c r="C2194" i="1"/>
  <c r="C2193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2" i="1"/>
  <c r="C2171" i="1"/>
  <c r="C2170" i="1"/>
  <c r="C2169" i="1"/>
  <c r="C2168" i="1"/>
  <c r="C2167" i="1"/>
  <c r="C2166" i="1"/>
  <c r="C2165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1" i="1"/>
  <c r="C2120" i="1"/>
  <c r="C2119" i="1"/>
  <c r="C2118" i="1"/>
  <c r="C2117" i="1"/>
  <c r="C2116" i="1"/>
  <c r="C2115" i="1"/>
  <c r="C2114" i="1"/>
  <c r="C2113" i="1"/>
  <c r="C2112" i="1"/>
  <c r="C2111" i="1"/>
  <c r="C2109" i="1"/>
  <c r="C2108" i="1"/>
  <c r="C2106" i="1"/>
  <c r="C2105" i="1"/>
  <c r="C2104" i="1"/>
  <c r="C2103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6" i="1"/>
  <c r="C2085" i="1"/>
  <c r="C2084" i="1"/>
  <c r="C2082" i="1"/>
  <c r="C2081" i="1"/>
  <c r="C2080" i="1"/>
  <c r="C2079" i="1"/>
  <c r="C2078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59" i="1"/>
  <c r="C2058" i="1"/>
  <c r="C2057" i="1"/>
  <c r="C2056" i="1"/>
  <c r="C2055" i="1"/>
  <c r="C2054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7" i="1"/>
  <c r="C2026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09" i="1"/>
  <c r="C2008" i="1"/>
  <c r="C2007" i="1"/>
  <c r="C2006" i="1"/>
  <c r="C2005" i="1"/>
  <c r="C2004" i="1"/>
  <c r="C2003" i="1"/>
  <c r="C2002" i="1"/>
  <c r="C2001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7" i="1"/>
  <c r="C1976" i="1"/>
  <c r="C1975" i="1"/>
  <c r="C1974" i="1"/>
  <c r="C1973" i="1"/>
  <c r="C1972" i="1"/>
  <c r="C1971" i="1"/>
  <c r="C1970" i="1"/>
  <c r="C1969" i="1"/>
  <c r="C1968" i="1"/>
  <c r="C1967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29" i="1"/>
  <c r="C1927" i="1"/>
  <c r="C1926" i="1"/>
  <c r="C1924" i="1"/>
  <c r="C1923" i="1"/>
  <c r="C1922" i="1"/>
  <c r="C1921" i="1"/>
  <c r="C1920" i="1"/>
  <c r="C1919" i="1"/>
  <c r="C1918" i="1"/>
  <c r="C1917" i="1"/>
  <c r="C1916" i="1"/>
  <c r="C1915" i="1"/>
  <c r="C1914" i="1"/>
  <c r="C1912" i="1"/>
  <c r="C1911" i="1"/>
  <c r="C1910" i="1"/>
  <c r="C1909" i="1"/>
  <c r="C1908" i="1"/>
  <c r="C1907" i="1"/>
  <c r="C1905" i="1"/>
  <c r="C1903" i="1"/>
  <c r="C1902" i="1"/>
  <c r="C1901" i="1"/>
  <c r="C1900" i="1"/>
  <c r="C1899" i="1"/>
  <c r="C1898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6" i="1"/>
  <c r="C1835" i="1"/>
  <c r="C1834" i="1"/>
  <c r="C1833" i="1"/>
  <c r="C1832" i="1"/>
  <c r="C1831" i="1"/>
  <c r="C1830" i="1"/>
  <c r="C1829" i="1"/>
  <c r="C1828" i="1"/>
  <c r="C1827" i="1"/>
  <c r="C1826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2" i="1"/>
  <c r="C1781" i="1"/>
  <c r="C1780" i="1"/>
  <c r="C1779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1" i="1"/>
  <c r="C1750" i="1"/>
  <c r="C1749" i="1"/>
  <c r="C1748" i="1"/>
  <c r="C1747" i="1"/>
  <c r="C1746" i="1"/>
  <c r="C1745" i="1"/>
  <c r="C1744" i="1"/>
  <c r="C1743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4" i="1"/>
  <c r="C1533" i="1"/>
  <c r="C1532" i="1"/>
  <c r="C1531" i="1"/>
  <c r="C1530" i="1"/>
  <c r="C1528" i="1"/>
  <c r="C1527" i="1"/>
  <c r="C1526" i="1"/>
  <c r="C1525" i="1"/>
  <c r="C1524" i="1"/>
  <c r="C1523" i="1"/>
  <c r="C1522" i="1"/>
  <c r="C1521" i="1"/>
  <c r="C1520" i="1"/>
  <c r="C1519" i="1"/>
  <c r="C1518" i="1"/>
  <c r="C1516" i="1"/>
  <c r="C1515" i="1"/>
  <c r="C1514" i="1"/>
  <c r="C1513" i="1"/>
  <c r="C1512" i="1"/>
  <c r="C1511" i="1"/>
  <c r="C1509" i="1"/>
  <c r="C1508" i="1"/>
  <c r="C1507" i="1"/>
  <c r="C1506" i="1"/>
  <c r="C1505" i="1"/>
  <c r="C1504" i="1"/>
  <c r="C1503" i="1"/>
  <c r="C1502" i="1"/>
  <c r="C1501" i="1"/>
  <c r="C1500" i="1"/>
  <c r="C1498" i="1"/>
  <c r="C1497" i="1"/>
  <c r="C1496" i="1"/>
  <c r="C1495" i="1"/>
  <c r="C1494" i="1"/>
  <c r="C1493" i="1"/>
  <c r="C1492" i="1"/>
  <c r="C1491" i="1"/>
  <c r="C1490" i="1"/>
  <c r="C1489" i="1"/>
  <c r="C1487" i="1"/>
  <c r="C1486" i="1"/>
  <c r="C1485" i="1"/>
  <c r="C1483" i="1"/>
  <c r="C1482" i="1"/>
  <c r="C1481" i="1"/>
  <c r="C1480" i="1"/>
  <c r="C1478" i="1"/>
  <c r="C1477" i="1"/>
  <c r="C1476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1" i="1"/>
  <c r="C1440" i="1"/>
  <c r="C1439" i="1"/>
  <c r="C1438" i="1"/>
  <c r="C1436" i="1"/>
  <c r="C1435" i="1"/>
  <c r="C1433" i="1"/>
  <c r="C1431" i="1"/>
  <c r="C1430" i="1"/>
  <c r="C1429" i="1"/>
  <c r="C1428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1" i="1"/>
  <c r="C1410" i="1"/>
  <c r="C1409" i="1"/>
  <c r="C1408" i="1"/>
  <c r="C1407" i="1"/>
  <c r="C1406" i="1"/>
  <c r="C1405" i="1"/>
  <c r="C1404" i="1"/>
  <c r="C1403" i="1"/>
  <c r="C1401" i="1"/>
  <c r="C1400" i="1"/>
  <c r="C1399" i="1"/>
  <c r="C1398" i="1"/>
  <c r="C1397" i="1"/>
  <c r="C1396" i="1"/>
  <c r="C1395" i="1"/>
  <c r="C1394" i="1"/>
  <c r="C1393" i="1"/>
  <c r="C1392" i="1"/>
  <c r="C1391" i="1"/>
  <c r="C1389" i="1"/>
  <c r="C1388" i="1"/>
  <c r="C1387" i="1"/>
  <c r="C1386" i="1"/>
  <c r="C1385" i="1"/>
  <c r="C1384" i="1"/>
  <c r="C1383" i="1"/>
  <c r="C1382" i="1"/>
  <c r="C1380" i="1"/>
  <c r="C1379" i="1"/>
  <c r="C1378" i="1"/>
  <c r="C1377" i="1"/>
  <c r="C1376" i="1"/>
  <c r="C1375" i="1"/>
  <c r="C1374" i="1"/>
  <c r="C1373" i="1"/>
  <c r="C1372" i="1"/>
  <c r="C1371" i="1"/>
  <c r="C1369" i="1"/>
  <c r="C1368" i="1"/>
  <c r="C1367" i="1"/>
  <c r="C1365" i="1"/>
  <c r="C1363" i="1"/>
  <c r="C1362" i="1"/>
  <c r="C1361" i="1"/>
  <c r="C1360" i="1"/>
  <c r="C1359" i="1"/>
  <c r="C1358" i="1"/>
  <c r="C1357" i="1"/>
  <c r="C1356" i="1"/>
  <c r="C1355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5" i="1"/>
  <c r="C1334" i="1"/>
  <c r="C1333" i="1"/>
  <c r="C1332" i="1"/>
  <c r="C1330" i="1"/>
  <c r="C1329" i="1"/>
  <c r="C1328" i="1"/>
  <c r="C1327" i="1"/>
  <c r="C1326" i="1"/>
  <c r="C1324" i="1"/>
  <c r="C1323" i="1"/>
  <c r="C1322" i="1"/>
  <c r="C1321" i="1"/>
  <c r="C1320" i="1"/>
  <c r="C1319" i="1"/>
  <c r="C1318" i="1"/>
  <c r="C1317" i="1"/>
  <c r="C1316" i="1"/>
  <c r="C1314" i="1"/>
  <c r="C1312" i="1"/>
  <c r="C1310" i="1"/>
  <c r="C1309" i="1"/>
  <c r="C1308" i="1"/>
  <c r="C1307" i="1"/>
  <c r="C1306" i="1"/>
  <c r="C1305" i="1"/>
  <c r="C1304" i="1"/>
  <c r="C1302" i="1"/>
  <c r="C1301" i="1"/>
  <c r="C1300" i="1"/>
  <c r="C1299" i="1"/>
  <c r="C1298" i="1"/>
  <c r="C1297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5" i="1"/>
  <c r="C1274" i="1"/>
  <c r="C1273" i="1"/>
  <c r="C1272" i="1"/>
  <c r="C1271" i="1"/>
  <c r="C1269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8" i="1"/>
  <c r="C1247" i="1"/>
  <c r="C1246" i="1"/>
  <c r="C1245" i="1"/>
  <c r="C1244" i="1"/>
  <c r="C1243" i="1"/>
  <c r="C1242" i="1"/>
  <c r="C1240" i="1"/>
  <c r="C1239" i="1"/>
  <c r="C1237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2" i="1"/>
  <c r="C1220" i="1"/>
  <c r="C1219" i="1"/>
  <c r="C1218" i="1"/>
  <c r="C1216" i="1"/>
  <c r="C1215" i="1"/>
  <c r="C1214" i="1"/>
  <c r="C1213" i="1"/>
  <c r="C1212" i="1"/>
  <c r="C1211" i="1"/>
  <c r="C1210" i="1"/>
  <c r="C1208" i="1"/>
  <c r="C1207" i="1"/>
  <c r="C1206" i="1"/>
  <c r="C1205" i="1"/>
  <c r="C1203" i="1"/>
  <c r="C1201" i="1"/>
  <c r="C1200" i="1"/>
  <c r="C1199" i="1"/>
  <c r="C1198" i="1"/>
  <c r="C1197" i="1"/>
  <c r="C1195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5" i="1"/>
  <c r="C1134" i="1"/>
  <c r="C1133" i="1"/>
  <c r="C1132" i="1"/>
  <c r="C1131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4" i="1"/>
  <c r="C1113" i="1"/>
  <c r="C1112" i="1"/>
  <c r="C1111" i="1"/>
  <c r="C1110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2" i="1"/>
  <c r="C1091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1" i="1"/>
  <c r="C1070" i="1"/>
  <c r="C1069" i="1"/>
  <c r="C1068" i="1"/>
  <c r="C1067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2" i="1"/>
  <c r="C1051" i="1"/>
  <c r="C1050" i="1"/>
  <c r="C1049" i="1"/>
  <c r="C1048" i="1"/>
  <c r="C1047" i="1"/>
  <c r="C1046" i="1"/>
  <c r="C1045" i="1"/>
  <c r="C1044" i="1"/>
  <c r="C1043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3" i="1"/>
  <c r="C1022" i="1"/>
  <c r="C1021" i="1"/>
  <c r="C1020" i="1"/>
  <c r="C1019" i="1"/>
  <c r="C1018" i="1"/>
  <c r="C1017" i="1"/>
  <c r="C1016" i="1"/>
  <c r="C1015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89" i="1"/>
  <c r="C988" i="1"/>
  <c r="C987" i="1"/>
  <c r="C986" i="1"/>
  <c r="C985" i="1"/>
  <c r="C984" i="1"/>
  <c r="C983" i="1"/>
  <c r="C982" i="1"/>
  <c r="C980" i="1"/>
  <c r="C979" i="1"/>
  <c r="C978" i="1"/>
  <c r="C977" i="1"/>
  <c r="C975" i="1"/>
  <c r="C974" i="1"/>
  <c r="C973" i="1"/>
  <c r="C972" i="1"/>
  <c r="C971" i="1"/>
  <c r="C970" i="1"/>
  <c r="C969" i="1"/>
  <c r="C967" i="1"/>
  <c r="C966" i="1"/>
  <c r="C965" i="1"/>
  <c r="C964" i="1"/>
  <c r="C963" i="1"/>
  <c r="C962" i="1"/>
  <c r="C961" i="1"/>
  <c r="C960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3" i="1"/>
  <c r="C922" i="1"/>
  <c r="C921" i="1"/>
  <c r="C920" i="1"/>
  <c r="C919" i="1"/>
  <c r="C918" i="1"/>
  <c r="C917" i="1"/>
  <c r="C916" i="1"/>
  <c r="C915" i="1"/>
  <c r="C913" i="1"/>
  <c r="C912" i="1"/>
  <c r="C911" i="1"/>
  <c r="C910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2" i="1"/>
  <c r="C890" i="1"/>
  <c r="C889" i="1"/>
  <c r="C888" i="1"/>
  <c r="C887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1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6" i="1"/>
  <c r="C854" i="1"/>
  <c r="C853" i="1"/>
  <c r="C852" i="1"/>
  <c r="C851" i="1"/>
  <c r="C850" i="1"/>
  <c r="C849" i="1"/>
  <c r="C848" i="1"/>
  <c r="C847" i="1"/>
  <c r="C846" i="1"/>
  <c r="C845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0" i="1"/>
  <c r="C829" i="1"/>
  <c r="C828" i="1"/>
  <c r="C827" i="1"/>
  <c r="C826" i="1"/>
  <c r="C825" i="1"/>
  <c r="C824" i="1"/>
  <c r="C823" i="1"/>
  <c r="C822" i="1"/>
  <c r="C821" i="1"/>
  <c r="C819" i="1"/>
  <c r="C817" i="1"/>
  <c r="C815" i="1"/>
  <c r="C814" i="1"/>
  <c r="C812" i="1"/>
  <c r="C810" i="1"/>
  <c r="C809" i="1"/>
  <c r="C808" i="1"/>
  <c r="C807" i="1"/>
  <c r="C806" i="1"/>
  <c r="C805" i="1"/>
  <c r="C804" i="1"/>
  <c r="C803" i="1"/>
  <c r="C802" i="1"/>
  <c r="C801" i="1"/>
  <c r="C800" i="1"/>
  <c r="C798" i="1"/>
  <c r="C797" i="1"/>
  <c r="C796" i="1"/>
  <c r="C795" i="1"/>
  <c r="C793" i="1"/>
  <c r="C792" i="1"/>
  <c r="C791" i="1"/>
  <c r="C790" i="1"/>
  <c r="C789" i="1"/>
  <c r="C788" i="1"/>
  <c r="C787" i="1"/>
  <c r="C786" i="1"/>
  <c r="C785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4" i="1"/>
  <c r="C753" i="1"/>
  <c r="C752" i="1"/>
  <c r="C751" i="1"/>
  <c r="C750" i="1"/>
  <c r="C749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5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6" i="1"/>
  <c r="C465" i="1"/>
  <c r="C464" i="1"/>
  <c r="C463" i="1"/>
  <c r="C462" i="1"/>
  <c r="C461" i="1"/>
  <c r="C460" i="1"/>
  <c r="C459" i="1"/>
  <c r="C458" i="1"/>
  <c r="C456" i="1"/>
  <c r="C455" i="1"/>
  <c r="C454" i="1"/>
  <c r="C453" i="1"/>
  <c r="C452" i="1"/>
  <c r="C451" i="1"/>
  <c r="C449" i="1"/>
  <c r="C448" i="1"/>
  <c r="C446" i="1"/>
  <c r="C445" i="1"/>
  <c r="C443" i="1"/>
  <c r="C441" i="1"/>
  <c r="C440" i="1"/>
  <c r="C439" i="1"/>
  <c r="C438" i="1"/>
  <c r="C437" i="1"/>
  <c r="C436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7" i="1"/>
  <c r="C346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1" i="1"/>
  <c r="C210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29" i="1"/>
  <c r="C128" i="1"/>
  <c r="C127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5" i="1"/>
  <c r="C24" i="1"/>
  <c r="C23" i="1"/>
  <c r="C22" i="1"/>
  <c r="C20" i="1"/>
  <c r="C19" i="1"/>
  <c r="C18" i="1"/>
  <c r="C17" i="1"/>
  <c r="C15" i="1"/>
  <c r="C14" i="1"/>
  <c r="C13" i="1"/>
  <c r="C12" i="1"/>
  <c r="C11" i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<sst xmlns="http://schemas.openxmlformats.org/spreadsheetml/2006/main" count="21773" uniqueCount="831">
  <si>
    <t xml:space="preserve"> Acura MDX 2001&gt;</t>
  </si>
  <si>
    <t xml:space="preserve">КАПОТ </t>
  </si>
  <si>
    <t>TYG</t>
  </si>
  <si>
    <t xml:space="preserve">ПЕРЕДНЯЯ ФАРА </t>
  </si>
  <si>
    <t>TYC</t>
  </si>
  <si>
    <t xml:space="preserve">ПОДКРЫЛЬНИК </t>
  </si>
  <si>
    <t>Signeda</t>
  </si>
  <si>
    <t xml:space="preserve"> Acura TL 2004&gt;</t>
  </si>
  <si>
    <t xml:space="preserve">РАДИАТОР КОНДИЦИОНЕРА </t>
  </si>
  <si>
    <t>Api</t>
  </si>
  <si>
    <t xml:space="preserve"> Acura TSX 2004&gt;</t>
  </si>
  <si>
    <t xml:space="preserve">БАМПЕР </t>
  </si>
  <si>
    <t xml:space="preserve">РЕШЕТКА РАДИАТОРА </t>
  </si>
  <si>
    <t xml:space="preserve">УСИЛИТЕЛЬ ПЕРЕДНЕГО БАМПЕРА </t>
  </si>
  <si>
    <t xml:space="preserve"> ALFA ROMEO 145/146 1994&gt;</t>
  </si>
  <si>
    <t xml:space="preserve">БОКОВОЕ ЗЕРКАЛО </t>
  </si>
  <si>
    <t xml:space="preserve">УКАЗАТЕЛЬ ПОВОРОТА </t>
  </si>
  <si>
    <t xml:space="preserve"> ALFA ROMEO 147 2000&gt;</t>
  </si>
  <si>
    <t>Phira</t>
  </si>
  <si>
    <t xml:space="preserve">ПРОТИВОТУМАННАЯ ФАРА </t>
  </si>
  <si>
    <t xml:space="preserve"> ALFA ROMEO 156 1997&gt;</t>
  </si>
  <si>
    <t>Florimex</t>
  </si>
  <si>
    <t xml:space="preserve"> Audi 100 C3 1982&gt;</t>
  </si>
  <si>
    <t xml:space="preserve">ЗАДНИЙ ФОНАРЬ </t>
  </si>
  <si>
    <t xml:space="preserve">КРЫЛО </t>
  </si>
  <si>
    <t xml:space="preserve">МОЛДИНГ НА ДВЕРИ (КОМПЛЕКТ) </t>
  </si>
  <si>
    <t xml:space="preserve">МОЛДИНГ ПЕРЕДНЕГО БАМПЕРА </t>
  </si>
  <si>
    <t xml:space="preserve">ПЕРЕДНЯЯ РАМА </t>
  </si>
  <si>
    <t xml:space="preserve">РАДИАТОР </t>
  </si>
  <si>
    <t xml:space="preserve">РАДИАТОР ОБОГРЕВА САЛОНА </t>
  </si>
  <si>
    <t xml:space="preserve">РАМОЧКА ПРОТИВОТУМАННОЙ ФАРЫ </t>
  </si>
  <si>
    <t xml:space="preserve">РУЧКИ ДВЕРНЫЕ </t>
  </si>
  <si>
    <t xml:space="preserve">СТЕКЛО ЗЕРКАЛА С ПОДСТАВКОЙ </t>
  </si>
  <si>
    <t xml:space="preserve"> Audi 100 C4 1991&gt;</t>
  </si>
  <si>
    <t>BodyParts</t>
  </si>
  <si>
    <t xml:space="preserve">ЗАЩИТА ДВИГАТЕЛЯ </t>
  </si>
  <si>
    <t>Gordon</t>
  </si>
  <si>
    <t xml:space="preserve">МОЛДИНГ НА ДВЕРИ </t>
  </si>
  <si>
    <t xml:space="preserve">МОЛДИНГ НА КРЫЛО </t>
  </si>
  <si>
    <t xml:space="preserve">РАСХОДОМЕР ВОЗДУХА </t>
  </si>
  <si>
    <t xml:space="preserve">РЕШЕТКА В БАМПЕР </t>
  </si>
  <si>
    <t xml:space="preserve">СТЕКЛО ПЕРЕДНЕЙ ФАРЫ </t>
  </si>
  <si>
    <t xml:space="preserve">Указатель поворота желтый левый кроме S4, TDI </t>
  </si>
  <si>
    <t>Hella</t>
  </si>
  <si>
    <t xml:space="preserve"> Audi 80 B2 1978&gt;</t>
  </si>
  <si>
    <t xml:space="preserve">ЗАДНЯЯ АРКА </t>
  </si>
  <si>
    <t>KLOKKERHOLM</t>
  </si>
  <si>
    <t>Maxicar</t>
  </si>
  <si>
    <t xml:space="preserve"> Audi 80/90 B3 1986&gt;</t>
  </si>
  <si>
    <t>Embo</t>
  </si>
  <si>
    <t xml:space="preserve">ЛЕНТА ПОД ФАРАМИ </t>
  </si>
  <si>
    <t xml:space="preserve">НИЖНЯЯ РАМА </t>
  </si>
  <si>
    <t xml:space="preserve">ПОДШИПНИКИ </t>
  </si>
  <si>
    <t>AG</t>
  </si>
  <si>
    <t xml:space="preserve">ПОРОГ </t>
  </si>
  <si>
    <t xml:space="preserve">РАМОЧКА ДЛЯ РЕШЕТКИ </t>
  </si>
  <si>
    <t>Magneti marelli</t>
  </si>
  <si>
    <t xml:space="preserve"> Audi 80/90 B4 1991&gt;</t>
  </si>
  <si>
    <t>Isam</t>
  </si>
  <si>
    <t xml:space="preserve">ДЕРЖАТЕЛЬ НОМЕРА </t>
  </si>
  <si>
    <t xml:space="preserve">МОЛДИНГ ЗАДНЕГО БАМПЕРА </t>
  </si>
  <si>
    <t>Capat</t>
  </si>
  <si>
    <t xml:space="preserve">Стекло противотуманной фары левое Audi 90 </t>
  </si>
  <si>
    <t>Россия</t>
  </si>
  <si>
    <t xml:space="preserve">УКАЗАТЕЛЬ ПОВОРОТА В БАМПЕР </t>
  </si>
  <si>
    <t xml:space="preserve"> Audi A2 2000&gt;</t>
  </si>
  <si>
    <t xml:space="preserve">КРЮК ДЛЯ БУКСИРОВКИ </t>
  </si>
  <si>
    <t xml:space="preserve"> Audi A3 1996&gt;</t>
  </si>
  <si>
    <t xml:space="preserve">Задний фонарь (комплект, тюнинг, хром) </t>
  </si>
  <si>
    <t>Eagle eyes</t>
  </si>
  <si>
    <t xml:space="preserve">Передняя фара (Н7/Н4) прав. </t>
  </si>
  <si>
    <t xml:space="preserve">СПОЙЛЕР БАМПЕРА </t>
  </si>
  <si>
    <t xml:space="preserve"> Audi A3 2003&gt;</t>
  </si>
  <si>
    <t xml:space="preserve">Боковое зеркало правое с электр., грунт. с подогрев. 3D 388-ADD039TP </t>
  </si>
  <si>
    <t xml:space="preserve">ДИФУЗОР РАДИАТОРА И КОНДИЦИОНЕРА </t>
  </si>
  <si>
    <t xml:space="preserve">УКАЗАТЕЛЬ ПОВОРОТА НА КРЫЛО </t>
  </si>
  <si>
    <t xml:space="preserve"> Audi A4 1995&gt;</t>
  </si>
  <si>
    <t xml:space="preserve">ИНТЕРКУЛЕР </t>
  </si>
  <si>
    <t xml:space="preserve"> Audi A4 2001&gt;</t>
  </si>
  <si>
    <t xml:space="preserve">ДИФУЗОР РАДИАТОРА </t>
  </si>
  <si>
    <t xml:space="preserve">ЗАЩИТА К/П </t>
  </si>
  <si>
    <t>Polcar</t>
  </si>
  <si>
    <t xml:space="preserve"> Audi A4 2005&gt;</t>
  </si>
  <si>
    <t xml:space="preserve">ЗАГЛУШКА БАМПЕРА </t>
  </si>
  <si>
    <t xml:space="preserve">КРОНШТЕЙНЫ ДЛЯ БАМПЕРА </t>
  </si>
  <si>
    <t xml:space="preserve"> Audi A4 2008&gt;</t>
  </si>
  <si>
    <t xml:space="preserve">КРОНШТЕЙН </t>
  </si>
  <si>
    <t xml:space="preserve"> Audi A4 2012&gt;</t>
  </si>
  <si>
    <t xml:space="preserve"> Audi A6 1994&gt;</t>
  </si>
  <si>
    <t xml:space="preserve"> Audi A6 1997&gt;</t>
  </si>
  <si>
    <t xml:space="preserve">ЦОКОЛЬ УКАЗАТЕЛЯ ПОВОРОТА </t>
  </si>
  <si>
    <t xml:space="preserve"> Audi A6 2004&gt;</t>
  </si>
  <si>
    <t xml:space="preserve">МОЛДИНГ НА РЕШЕТКУ В БАМПЕР </t>
  </si>
  <si>
    <t xml:space="preserve"> Audi A8 1994&gt;</t>
  </si>
  <si>
    <t xml:space="preserve"> Audi A8 2002&gt;</t>
  </si>
  <si>
    <t xml:space="preserve"> Audi Q5 2008&gt;</t>
  </si>
  <si>
    <t xml:space="preserve"> Audi Q7 2006&gt;</t>
  </si>
  <si>
    <t xml:space="preserve"> BMW 1 E87 2004&gt;</t>
  </si>
  <si>
    <t xml:space="preserve"> BMW 3 E30 1982&gt;</t>
  </si>
  <si>
    <t>Tong yang</t>
  </si>
  <si>
    <t xml:space="preserve"> BMW 3 E36 1991&gt;</t>
  </si>
  <si>
    <t xml:space="preserve">ЗАГЛУШКА КРЮКА </t>
  </si>
  <si>
    <t xml:space="preserve">Крыло переднее без отв. </t>
  </si>
  <si>
    <t xml:space="preserve">КРЫШКА ПРОТИВОТУМАННОЙ ФАРЫ </t>
  </si>
  <si>
    <t xml:space="preserve">Стекло передней фары правое </t>
  </si>
  <si>
    <t xml:space="preserve">Стекло противотуманной фары тюнинг </t>
  </si>
  <si>
    <t xml:space="preserve"> BMW 3 E46 1998&gt;</t>
  </si>
  <si>
    <t xml:space="preserve">Передняя фара правая BMW 3-сер (E46) 10/01-&gt; </t>
  </si>
  <si>
    <t xml:space="preserve"> BMW 3 E90/E91/E92/E93 2004&gt;</t>
  </si>
  <si>
    <t xml:space="preserve"> BMW 5 E28 1981&gt;</t>
  </si>
  <si>
    <t xml:space="preserve"> BMW 5 E34 1988&gt;</t>
  </si>
  <si>
    <t xml:space="preserve">ЗАВЕСА КРЫШКИ БАКА </t>
  </si>
  <si>
    <t xml:space="preserve">Задний фонарь угол левый тонир. </t>
  </si>
  <si>
    <t xml:space="preserve">Повторитель белый без цоколя </t>
  </si>
  <si>
    <t xml:space="preserve">Стекло противотуманной фары прозрачное </t>
  </si>
  <si>
    <t xml:space="preserve">ХРОМ НА РЕШЕТКУ </t>
  </si>
  <si>
    <t xml:space="preserve"> BMW 5 E39 1995&gt;</t>
  </si>
  <si>
    <t xml:space="preserve">Датчик оси, тюн </t>
  </si>
  <si>
    <t xml:space="preserve">СТЕКЛО ПРОТИВОТУМАННОЙ ФАРЫ </t>
  </si>
  <si>
    <t xml:space="preserve">ХРОМ НА ЛЕНТУ БАМПЕРА </t>
  </si>
  <si>
    <t xml:space="preserve">ХРОМ НА НОМЕРОДЕРЖАТЕЛЬ </t>
  </si>
  <si>
    <t xml:space="preserve"> BMW 5 E60/E61 2003&gt;</t>
  </si>
  <si>
    <t xml:space="preserve"> BMW 7 E32 1986&gt;</t>
  </si>
  <si>
    <t xml:space="preserve">РЕШЕТКА БОКОВАЯ </t>
  </si>
  <si>
    <t xml:space="preserve"> BMW 7 E38 1994&gt;</t>
  </si>
  <si>
    <t xml:space="preserve"> BMW 7 E65/E66/E67/E68 2001&gt;</t>
  </si>
  <si>
    <t xml:space="preserve"> BMW X3 E83 2003&gt;</t>
  </si>
  <si>
    <t xml:space="preserve"> BMW X5 E53 2000&gt;</t>
  </si>
  <si>
    <t xml:space="preserve"> BMW X5 E70 2007&gt;</t>
  </si>
  <si>
    <t xml:space="preserve"> Cadillac CTS 2003&gt;</t>
  </si>
  <si>
    <t xml:space="preserve"> Cadillac Escalade 2002&gt;</t>
  </si>
  <si>
    <t xml:space="preserve"> Chery A15 Amulet 2003&gt;</t>
  </si>
  <si>
    <t xml:space="preserve"> Chevrolet Aveo T200 2004&gt;</t>
  </si>
  <si>
    <t xml:space="preserve"> Chevrolet Aveo T250 2006&gt;</t>
  </si>
  <si>
    <t xml:space="preserve">ЛЕНТА НА КАПОТ </t>
  </si>
  <si>
    <t>Termal</t>
  </si>
  <si>
    <t xml:space="preserve"> Chevrolet Aveo T255 2008&gt;</t>
  </si>
  <si>
    <t xml:space="preserve"> Chevrolet Captiva 2006&gt;</t>
  </si>
  <si>
    <t xml:space="preserve"> Chevrolet Cruze 2008&gt;</t>
  </si>
  <si>
    <t xml:space="preserve">ПЕТЛЯ ДЛЯ КАПОТА </t>
  </si>
  <si>
    <t xml:space="preserve"> Chevrolet Epica 2006&gt;</t>
  </si>
  <si>
    <t xml:space="preserve"> Chevrolet Lacetti 2004&gt;</t>
  </si>
  <si>
    <t xml:space="preserve"> Chevrolet Spark 2005&gt;</t>
  </si>
  <si>
    <t xml:space="preserve"> Chevrolet Spark 2010&gt;</t>
  </si>
  <si>
    <t xml:space="preserve"> Chrysler 300C 2005&gt;</t>
  </si>
  <si>
    <t xml:space="preserve"> Chrysler 300M 1999&gt;</t>
  </si>
  <si>
    <t xml:space="preserve"> Chrysler Pacifica 2003&gt;</t>
  </si>
  <si>
    <t xml:space="preserve">ОТРАЖАТЕЛЬ </t>
  </si>
  <si>
    <t xml:space="preserve"> Chrysler PT Cruiser 2001&gt;</t>
  </si>
  <si>
    <t xml:space="preserve">Передняя рама боковая </t>
  </si>
  <si>
    <t xml:space="preserve">СПОЙЛЕР </t>
  </si>
  <si>
    <t xml:space="preserve"> Chrysler Sebring 2001&gt;</t>
  </si>
  <si>
    <t xml:space="preserve"> Chrysler Sebring 2007&gt;</t>
  </si>
  <si>
    <t xml:space="preserve"> Chrysler Stratus 1995&gt;</t>
  </si>
  <si>
    <t xml:space="preserve">Передняя фара левая (97-00) без цоколя, без ламп </t>
  </si>
  <si>
    <t xml:space="preserve">Передняя фара правая (97-00) без цоколя, без ламп </t>
  </si>
  <si>
    <t xml:space="preserve"> Chrysler Voyager/Dodge Caravan 1991&gt;</t>
  </si>
  <si>
    <t xml:space="preserve"> Chrysler Voyager/Dodge Caravan 1996&gt;</t>
  </si>
  <si>
    <t xml:space="preserve"> Chrysler Voyager/Dodge Caravan 2001&gt;</t>
  </si>
  <si>
    <t xml:space="preserve">ДИФУЗОР КОНДИЦИОНЕРА </t>
  </si>
  <si>
    <t xml:space="preserve">ЗАЩИТА ПОД БАМПЕР </t>
  </si>
  <si>
    <t xml:space="preserve"> Chrysler Voyager/Dodge Caravan 2008&gt;</t>
  </si>
  <si>
    <t xml:space="preserve"> Citroen Berlingo/Peugeot Partner 1996&gt;</t>
  </si>
  <si>
    <t>R2A</t>
  </si>
  <si>
    <t>Arregui</t>
  </si>
  <si>
    <t>Eurostamp</t>
  </si>
  <si>
    <t xml:space="preserve"> Citroen Berlingo/Peugeot Partner 2002&gt;</t>
  </si>
  <si>
    <t xml:space="preserve"> Citroen Berlingo/Peugeot Partner 2008&gt;</t>
  </si>
  <si>
    <t xml:space="preserve"> Citroen C2 2003&gt;</t>
  </si>
  <si>
    <t xml:space="preserve"> Citroen C3 2002&gt;</t>
  </si>
  <si>
    <t xml:space="preserve"> Citroen C3/Picasso 2009&gt;</t>
  </si>
  <si>
    <t xml:space="preserve"> Citroen C4/Picasso 2004&gt;</t>
  </si>
  <si>
    <t xml:space="preserve"> Citroen C4/Picasso 2010&gt;</t>
  </si>
  <si>
    <t xml:space="preserve"> Citroen C5 2001&gt;</t>
  </si>
  <si>
    <t xml:space="preserve"> Citroen C5 2008&gt;</t>
  </si>
  <si>
    <t xml:space="preserve"> Citroen Evasion/Fiat Ulysse/Peugeot 806 1994&gt;</t>
  </si>
  <si>
    <t xml:space="preserve">Стекло противотуманной фары </t>
  </si>
  <si>
    <t xml:space="preserve"> Citroen Jumper/Peugeot Boxer/Fiat Ducato 1994&gt;</t>
  </si>
  <si>
    <t xml:space="preserve">БОК </t>
  </si>
  <si>
    <t xml:space="preserve">КРЫЛО ЗАДНЕЕ </t>
  </si>
  <si>
    <t xml:space="preserve">Передняя часть заднего крыла </t>
  </si>
  <si>
    <t xml:space="preserve">УГЛЫ ЗАДНЕГО БАМПЕРА </t>
  </si>
  <si>
    <t>Eurobump</t>
  </si>
  <si>
    <t xml:space="preserve"> Citroen Jumper/Peugeot Boxer/Fiat Ducato 2006&gt;</t>
  </si>
  <si>
    <t xml:space="preserve">БОК БАМПЕРА </t>
  </si>
  <si>
    <t xml:space="preserve">МОЛДИНГ </t>
  </si>
  <si>
    <t xml:space="preserve"> Citroen Saxo 2000&gt;</t>
  </si>
  <si>
    <t xml:space="preserve"> Citroen Xantia 1993&gt;</t>
  </si>
  <si>
    <t xml:space="preserve">Стекло фары левое </t>
  </si>
  <si>
    <t xml:space="preserve">Стекло фары правое </t>
  </si>
  <si>
    <t xml:space="preserve"> Citroen Xsara 1997&gt;</t>
  </si>
  <si>
    <t xml:space="preserve"> Citroen Xsara 2000&gt;</t>
  </si>
  <si>
    <t xml:space="preserve"> Citroen Xsara Picasso 1999&gt;</t>
  </si>
  <si>
    <t xml:space="preserve"> Citroen ZX 1991&gt;</t>
  </si>
  <si>
    <t xml:space="preserve"> Daewoo Espero 1994&gt;</t>
  </si>
  <si>
    <t xml:space="preserve"> Daewoo Lanos 1997&gt;/Chevrolet Lanos 2002&gt;</t>
  </si>
  <si>
    <t xml:space="preserve"> Daewoo Leganza 1997&gt;</t>
  </si>
  <si>
    <t xml:space="preserve"> Daewoo Matiz 1999&gt;</t>
  </si>
  <si>
    <t xml:space="preserve"> Daewoo Matiz 2001&gt;</t>
  </si>
  <si>
    <t xml:space="preserve"> Daewoo Nexia 1994&gt;</t>
  </si>
  <si>
    <t xml:space="preserve"> Daewoo Nubira 2000&gt;</t>
  </si>
  <si>
    <t xml:space="preserve"> Dodge Avenger 2008&gt;</t>
  </si>
  <si>
    <t xml:space="preserve"> Dodge Caliber 2007&gt;</t>
  </si>
  <si>
    <t xml:space="preserve"> Dodge Intrepid 1997&gt;</t>
  </si>
  <si>
    <t xml:space="preserve"> Dodge Journey 2009&gt;</t>
  </si>
  <si>
    <t xml:space="preserve">БОЧОК ДЛЯ ОКОН ОМЫВАТЕЛЯ </t>
  </si>
  <si>
    <t xml:space="preserve"> Dodge Magnum 2005&gt;</t>
  </si>
  <si>
    <t xml:space="preserve"> Dodge Neon 1995&gt;</t>
  </si>
  <si>
    <t xml:space="preserve"> Dodge Neon 2000&gt;</t>
  </si>
  <si>
    <t xml:space="preserve"> Dodge Stratus 2000&gt;</t>
  </si>
  <si>
    <t xml:space="preserve"> Fiat Albea 2005&gt;</t>
  </si>
  <si>
    <t xml:space="preserve"> Fiat Brava/Bravo/Marea 1995&gt;</t>
  </si>
  <si>
    <t xml:space="preserve"> Fiat Doblo 2000&gt;</t>
  </si>
  <si>
    <t xml:space="preserve"> Fiat Doblo 2009&gt;</t>
  </si>
  <si>
    <t xml:space="preserve"> Fiat Ducato/Peugeot J5/Citroen C25 1982&gt;</t>
  </si>
  <si>
    <t xml:space="preserve">ПЕРЕДНЯЯ ЧАСТЬ КРЫЛА </t>
  </si>
  <si>
    <t xml:space="preserve"> Fiat Grande Punto 2005&gt;</t>
  </si>
  <si>
    <t xml:space="preserve"> Fiat Palio 1997&gt;</t>
  </si>
  <si>
    <t xml:space="preserve"> Fiat Panda 2003&gt;</t>
  </si>
  <si>
    <t xml:space="preserve"> Fiat Punto 1993&gt;</t>
  </si>
  <si>
    <t xml:space="preserve"> Fiat Punto 1999&gt;</t>
  </si>
  <si>
    <t xml:space="preserve"> Fiat Scudo/Peugeot Expert/Citroen Jumpy 1994&gt;</t>
  </si>
  <si>
    <t xml:space="preserve"> Fiat Seicento 1998&gt;</t>
  </si>
  <si>
    <t xml:space="preserve"> Fiat Stilo 2001&gt;</t>
  </si>
  <si>
    <t xml:space="preserve"> Fiat Tipo 1988&gt;</t>
  </si>
  <si>
    <t xml:space="preserve"> Ford Escape 2001&gt;</t>
  </si>
  <si>
    <t xml:space="preserve"> Ford Escape 2008&gt;</t>
  </si>
  <si>
    <t xml:space="preserve"> Ford Escape 2013&gt;</t>
  </si>
  <si>
    <t xml:space="preserve"> Ford Escort 1980&gt;</t>
  </si>
  <si>
    <t xml:space="preserve"> Ford Escort 1986&gt;</t>
  </si>
  <si>
    <t xml:space="preserve"> Ford Escort 1990&gt;</t>
  </si>
  <si>
    <t>Fifft</t>
  </si>
  <si>
    <t xml:space="preserve"> Ford Escort 1995&gt;</t>
  </si>
  <si>
    <t xml:space="preserve"> Ford Fiesta 1989&gt;</t>
  </si>
  <si>
    <t xml:space="preserve"> Ford Fiesta 1995&gt;</t>
  </si>
  <si>
    <t xml:space="preserve">Диффузор радиатора и кондиционера (96-01) 1,8L </t>
  </si>
  <si>
    <t xml:space="preserve"> Ford Fiesta 1999&gt;</t>
  </si>
  <si>
    <t xml:space="preserve"> Ford Fiesta 2002&gt;</t>
  </si>
  <si>
    <t xml:space="preserve"> Ford Fiesta 2008&gt;</t>
  </si>
  <si>
    <t xml:space="preserve">ДЕФЛЕКТОР РАДИАТОРА </t>
  </si>
  <si>
    <t xml:space="preserve">КРЫШКА НА ЗЕРКАЛО </t>
  </si>
  <si>
    <t xml:space="preserve"> Ford Focus 1998&gt;</t>
  </si>
  <si>
    <t xml:space="preserve">ПОДСВЕТКА НОМЕРА </t>
  </si>
  <si>
    <t xml:space="preserve">Резонатор Ford Focus(без катал./длин)(1,8-2,0L 1998-2004) </t>
  </si>
  <si>
    <t>Automuffler</t>
  </si>
  <si>
    <t xml:space="preserve"> Ford Focus 2002&gt;</t>
  </si>
  <si>
    <t xml:space="preserve">РАМОЧКА ДЛЯ РЕШЕТКИ В БАМПЕР </t>
  </si>
  <si>
    <t xml:space="preserve"> Ford Focus 2005&gt;</t>
  </si>
  <si>
    <t xml:space="preserve">КАПОТ ДЕФЛЕКТОР </t>
  </si>
  <si>
    <t xml:space="preserve">КРЕПЛЕНИЕ ЗАМКА ДЛЯ КАПОТА </t>
  </si>
  <si>
    <t xml:space="preserve">МОЛДИНГ КУЗОВА </t>
  </si>
  <si>
    <t xml:space="preserve">РУЧКА ДЛЯ КАПОТА </t>
  </si>
  <si>
    <t xml:space="preserve">ФАРТУК </t>
  </si>
  <si>
    <t xml:space="preserve"> Ford Focus 2008&gt;</t>
  </si>
  <si>
    <t xml:space="preserve">ВОЗДУХА ЗАБОРНИКИ </t>
  </si>
  <si>
    <t xml:space="preserve"> Ford Focus 2011&gt;</t>
  </si>
  <si>
    <t xml:space="preserve">ПОВОРОТ НА ЗЕРКАЛО </t>
  </si>
  <si>
    <t xml:space="preserve"> Ford Focus C-Max 2003&gt;</t>
  </si>
  <si>
    <t xml:space="preserve"> Ford Fusion 2002&gt;</t>
  </si>
  <si>
    <t xml:space="preserve"> Ford Galaxy 2006&gt;</t>
  </si>
  <si>
    <t xml:space="preserve"> Ford Ka 1996&gt;</t>
  </si>
  <si>
    <t xml:space="preserve">Диффузор радиатора 1,3 </t>
  </si>
  <si>
    <t xml:space="preserve"> Ford Mondeo 1993&gt;</t>
  </si>
  <si>
    <t xml:space="preserve">РАМА ВОКРУГ ФАРЫ </t>
  </si>
  <si>
    <t xml:space="preserve"> Ford Mondeo 1996&gt;</t>
  </si>
  <si>
    <t xml:space="preserve"> Ford Mondeo 2000&gt;</t>
  </si>
  <si>
    <t xml:space="preserve">МОЛДИНГ ДЛЯ РЕШЕТКИ </t>
  </si>
  <si>
    <t xml:space="preserve"> Ford Mondeo 2007&gt;</t>
  </si>
  <si>
    <t xml:space="preserve">КРЫШКА </t>
  </si>
  <si>
    <t xml:space="preserve">ФАРА ДНЕВНОГО СВЕТА </t>
  </si>
  <si>
    <t xml:space="preserve"> Ford S-Max 2006&gt;</t>
  </si>
  <si>
    <t xml:space="preserve"> Ford Scorpio 1985&gt;</t>
  </si>
  <si>
    <t xml:space="preserve"> Ford Scorpio 1994&gt;</t>
  </si>
  <si>
    <t xml:space="preserve"> Ford Sierra 1982&gt;</t>
  </si>
  <si>
    <t xml:space="preserve"> Ford Sierra 1987&gt;</t>
  </si>
  <si>
    <t xml:space="preserve">Задний фонарь правый </t>
  </si>
  <si>
    <t xml:space="preserve">Стекло противотуманной фары левое </t>
  </si>
  <si>
    <t xml:space="preserve"> Ford Taurus 1996&gt;</t>
  </si>
  <si>
    <t xml:space="preserve">Усилитель переднего бампера </t>
  </si>
  <si>
    <t xml:space="preserve"> Ford Transit 1986&gt;</t>
  </si>
  <si>
    <t xml:space="preserve">АРКА ПЕРЕДНЕГО КРЫЛА </t>
  </si>
  <si>
    <t xml:space="preserve"> Ford Transit 1991&gt;</t>
  </si>
  <si>
    <t xml:space="preserve">ЖЕЛЕЗО ДВЕРИ </t>
  </si>
  <si>
    <t xml:space="preserve"> Ford Transit 1994&gt;</t>
  </si>
  <si>
    <t xml:space="preserve">ВНУТРЕННЯЯ ЧАСТЬ АРКИ </t>
  </si>
  <si>
    <t xml:space="preserve"> Ford Transit 2000&gt;</t>
  </si>
  <si>
    <t xml:space="preserve">Угол заднего бампера правый верхняя часть </t>
  </si>
  <si>
    <t xml:space="preserve"> Ford Transit 2006&gt;</t>
  </si>
  <si>
    <t xml:space="preserve"> Ford Trnasit Connect/Turneo Connect 2002&gt;</t>
  </si>
  <si>
    <t xml:space="preserve"> Gazelle 2003&gt;</t>
  </si>
  <si>
    <t xml:space="preserve"> Hella универсальные товары</t>
  </si>
  <si>
    <t xml:space="preserve">D66мм Фонарь габарит/стоп задний красный (1 шт.) </t>
  </si>
  <si>
    <t xml:space="preserve">Luminator Chromium Рамка хромированная </t>
  </si>
  <si>
    <t xml:space="preserve">Micro-Xenon Оптич. элемент дальн. свет (-001/-801) (реф.37,5) </t>
  </si>
  <si>
    <t xml:space="preserve">Вставка фары, фара дальнего света, ксенон </t>
  </si>
  <si>
    <t xml:space="preserve">Выключатель, 8 соединений </t>
  </si>
  <si>
    <t xml:space="preserve">Держатель (адаптер кольцо) D66мм/80мм </t>
  </si>
  <si>
    <t xml:space="preserve">Катафот кольцевой красный (1 шт.) D55мм/98мм </t>
  </si>
  <si>
    <t xml:space="preserve">Комплект проводов к пер. фарам со встроенным реле, с защитой 3,1 м. 12V </t>
  </si>
  <si>
    <t xml:space="preserve">Набор прокладок, компрессор </t>
  </si>
  <si>
    <t xml:space="preserve">Передняя фара дальн. свет Comet FF-100 </t>
  </si>
  <si>
    <t xml:space="preserve">Противотуманная фара Comet FF-100 </t>
  </si>
  <si>
    <t xml:space="preserve">Штекерный корпус комплект (20шт) ксенон </t>
  </si>
  <si>
    <t xml:space="preserve">Щетка стеклоочистителя  (440мм) </t>
  </si>
  <si>
    <t xml:space="preserve">Щетка стеклоочистителя 450мм 1 шт </t>
  </si>
  <si>
    <t xml:space="preserve">Щетка стеклоочистителя 480мм (WB H4) </t>
  </si>
  <si>
    <t xml:space="preserve">Щетка стеклоочистителя 500мм 2 шт (WB35) </t>
  </si>
  <si>
    <t xml:space="preserve">Щетка стеклоочистителя 500шт/480мм 2шт (WB 65) Спойлер </t>
  </si>
  <si>
    <t xml:space="preserve">Щетка стеклоочистителя 530мм/450мм (WB38) </t>
  </si>
  <si>
    <t xml:space="preserve">Щетка стеклоочистителя 530мм/450мм пр. руль </t>
  </si>
  <si>
    <t xml:space="preserve">Щетка стеклоочистителя 550мм </t>
  </si>
  <si>
    <t xml:space="preserve">Щетка стеклоочистителя 550мм/500мм 2 шт </t>
  </si>
  <si>
    <t xml:space="preserve">Щетка стеклоочистителя 575мм 2 шт (WB57) </t>
  </si>
  <si>
    <t xml:space="preserve">Щетка стеклоочистителя WB39 (475/420mm) HELLA </t>
  </si>
  <si>
    <t xml:space="preserve">Щетка стеклоочистителя WB7 (420мм) к-т </t>
  </si>
  <si>
    <t xml:space="preserve"> Honda Accord 1986&gt;</t>
  </si>
  <si>
    <t xml:space="preserve">Порог правый 2D </t>
  </si>
  <si>
    <t xml:space="preserve">Указатель поворота </t>
  </si>
  <si>
    <t xml:space="preserve"> Honda Accord 1990&gt;</t>
  </si>
  <si>
    <t xml:space="preserve">ГАБАРИТ </t>
  </si>
  <si>
    <t xml:space="preserve"> Honda Accord 1994&gt;</t>
  </si>
  <si>
    <t xml:space="preserve"> Honda Accord 1998&gt;</t>
  </si>
  <si>
    <t xml:space="preserve"> Honda Accord 2003&gt;</t>
  </si>
  <si>
    <t xml:space="preserve"> Honda Accord 2008&gt;</t>
  </si>
  <si>
    <t xml:space="preserve"> Honda Civic 1983&gt;</t>
  </si>
  <si>
    <t xml:space="preserve"> Honda Civic 1987&gt;</t>
  </si>
  <si>
    <t xml:space="preserve">Задний фонарь правый SDN, (88-89) </t>
  </si>
  <si>
    <t xml:space="preserve"> Honda Civic 1992&gt;</t>
  </si>
  <si>
    <t xml:space="preserve"> Honda Civic 1996&gt;</t>
  </si>
  <si>
    <t xml:space="preserve"> Honda Civic 1999&gt;</t>
  </si>
  <si>
    <t xml:space="preserve"> Honda Civic 2001&gt;</t>
  </si>
  <si>
    <t xml:space="preserve">ЗАМОК КАПОТА </t>
  </si>
  <si>
    <t xml:space="preserve"> Honda Civic 2003&gt;</t>
  </si>
  <si>
    <t xml:space="preserve"> Honda Civic 2006&gt;</t>
  </si>
  <si>
    <t xml:space="preserve">Стекло противотуманки </t>
  </si>
  <si>
    <t xml:space="preserve"> Honda Civic 2012&gt;</t>
  </si>
  <si>
    <t xml:space="preserve"> Honda CRV 1996&gt;</t>
  </si>
  <si>
    <t xml:space="preserve"> Honda CRV 2002&gt;</t>
  </si>
  <si>
    <t xml:space="preserve"> Honda CRV 2006&gt;</t>
  </si>
  <si>
    <t xml:space="preserve">НАДКРЫЛЬНИКИ </t>
  </si>
  <si>
    <t xml:space="preserve"> Honda CRV 2012&gt;</t>
  </si>
  <si>
    <t xml:space="preserve"> Honda Element 2003&gt;</t>
  </si>
  <si>
    <t xml:space="preserve"> Honda Fit 2007&gt;</t>
  </si>
  <si>
    <t xml:space="preserve"> Honda Fit 2009&gt;</t>
  </si>
  <si>
    <t xml:space="preserve"> Honda Insight 2009&gt;</t>
  </si>
  <si>
    <t xml:space="preserve"> Honda Jazz/Fit 2001&gt;</t>
  </si>
  <si>
    <t xml:space="preserve">Боковое зеркало левое эл. H/B 02-05 </t>
  </si>
  <si>
    <t xml:space="preserve">Боковое зеркало правое эл. H/B 02-05 </t>
  </si>
  <si>
    <t xml:space="preserve"> Hyundai Accent 1995&gt;</t>
  </si>
  <si>
    <t xml:space="preserve">Глушитель </t>
  </si>
  <si>
    <t xml:space="preserve"> Hyundai Accent 1997&gt;</t>
  </si>
  <si>
    <t xml:space="preserve"> Hyundai Accent 2000&gt; + ТАГАЗ</t>
  </si>
  <si>
    <t xml:space="preserve"> Hyundai Accent 2002&gt;</t>
  </si>
  <si>
    <t xml:space="preserve"> Hyundai Accent 2006&gt;</t>
  </si>
  <si>
    <t xml:space="preserve"> Hyundai Coupe/Tiburon 1996&gt;</t>
  </si>
  <si>
    <t xml:space="preserve"> Hyundai Elantra 1996&gt;</t>
  </si>
  <si>
    <t xml:space="preserve"> Hyundai Elantra 2001&gt;</t>
  </si>
  <si>
    <t xml:space="preserve"> Hyundai Elantra 2004&gt;</t>
  </si>
  <si>
    <t xml:space="preserve"> Hyundai Elantra 2007&gt;</t>
  </si>
  <si>
    <t xml:space="preserve"> Hyundai Elantra/Avante 2010&gt;</t>
  </si>
  <si>
    <t xml:space="preserve"> Hyundai Getz 2002&gt;</t>
  </si>
  <si>
    <t xml:space="preserve">УСИЛИТЕЛЬ ЗАДНЕГО БАМПЕРА </t>
  </si>
  <si>
    <t xml:space="preserve"> Hyundai Getz 2005&gt;</t>
  </si>
  <si>
    <t xml:space="preserve"> Hyundai i10 2007&gt;</t>
  </si>
  <si>
    <t xml:space="preserve"> Hyundai i20 2008&gt;</t>
  </si>
  <si>
    <t xml:space="preserve"> Hyundai i30 2007&gt;</t>
  </si>
  <si>
    <t xml:space="preserve"> Hyundai iX35 2010&gt;</t>
  </si>
  <si>
    <t xml:space="preserve"> Hyundai iX55 2008&gt;</t>
  </si>
  <si>
    <t xml:space="preserve"> Hyundai Matrix 2002&gt;</t>
  </si>
  <si>
    <t xml:space="preserve"> Hyundai Santa Fe 2001&gt; + ТАГАЗ</t>
  </si>
  <si>
    <t xml:space="preserve"> Hyundai Santa Fe 2007&gt;</t>
  </si>
  <si>
    <t xml:space="preserve"> Hyundai Solaris 2011&gt;</t>
  </si>
  <si>
    <t xml:space="preserve"> Hyundai Sonata 2002&gt; + ТАГАЗ</t>
  </si>
  <si>
    <t xml:space="preserve">Замок капота (+Тагаз) </t>
  </si>
  <si>
    <t xml:space="preserve"> Hyundai Sonata 2010&gt;</t>
  </si>
  <si>
    <t xml:space="preserve"> Hyundai Sonata NF 2004&gt;</t>
  </si>
  <si>
    <t xml:space="preserve"> Hyundai Tucson 2004&gt;</t>
  </si>
  <si>
    <t xml:space="preserve"> Infiniti FX35/45 2003&gt;</t>
  </si>
  <si>
    <t xml:space="preserve">Крыло переднее левое </t>
  </si>
  <si>
    <t xml:space="preserve"> Infiniti G35 2003&gt;</t>
  </si>
  <si>
    <t xml:space="preserve"> Iveco Daily 1990&gt;</t>
  </si>
  <si>
    <t xml:space="preserve"> Jeep Compass 2011&gt;</t>
  </si>
  <si>
    <t xml:space="preserve"> Jeep Grand Cherokee 1993&gt;</t>
  </si>
  <si>
    <t xml:space="preserve"> Jeep Grand Cherokee 1999&gt;</t>
  </si>
  <si>
    <t xml:space="preserve"> Jeep Grand Cherokee 2005&gt;</t>
  </si>
  <si>
    <t xml:space="preserve"> Jeep Grand Cherokee 2011&gt;</t>
  </si>
  <si>
    <t xml:space="preserve"> Jeep Liberty 2002&gt;</t>
  </si>
  <si>
    <t xml:space="preserve"> Kia Ceed 2006&gt;</t>
  </si>
  <si>
    <t xml:space="preserve"> Kia Cerato 2004&gt;</t>
  </si>
  <si>
    <t xml:space="preserve"> Kia Cerato Forte 2009&gt;</t>
  </si>
  <si>
    <t xml:space="preserve"> Kia Picanto 2004&gt;</t>
  </si>
  <si>
    <t xml:space="preserve"> Kia Picanto 2008&gt;</t>
  </si>
  <si>
    <t xml:space="preserve"> Kia Rio 2001&gt;</t>
  </si>
  <si>
    <t xml:space="preserve">Противотуманная фара левая </t>
  </si>
  <si>
    <t xml:space="preserve"> Kia Rio 2005&gt;</t>
  </si>
  <si>
    <t xml:space="preserve"> Kia Rio 2011&gt;</t>
  </si>
  <si>
    <t xml:space="preserve"> Kia Sephia 1995&gt;</t>
  </si>
  <si>
    <t xml:space="preserve"> Kia Sorento 2002&gt;</t>
  </si>
  <si>
    <t xml:space="preserve"> Kia Sorento 2009&gt;</t>
  </si>
  <si>
    <t xml:space="preserve"> Kia Soul 2010&gt;</t>
  </si>
  <si>
    <t xml:space="preserve"> Kia Spectra 2000&gt; + ИЖ</t>
  </si>
  <si>
    <t xml:space="preserve">Глушитель KIA Spectra (14.05.2001 - 12.06.2001) </t>
  </si>
  <si>
    <t xml:space="preserve"> Kia Sportage 1994&gt;</t>
  </si>
  <si>
    <t xml:space="preserve"> Kia Sportage 2004&gt;</t>
  </si>
  <si>
    <t xml:space="preserve"> Kia Sportage 2010&gt;</t>
  </si>
  <si>
    <t xml:space="preserve"> Kia Venga 2010&gt;</t>
  </si>
  <si>
    <t xml:space="preserve"> Land Rover Freelander 1997&gt;</t>
  </si>
  <si>
    <t xml:space="preserve"> Lexus ES 2002&gt;</t>
  </si>
  <si>
    <t xml:space="preserve"> Lexus ES 2007&gt;</t>
  </si>
  <si>
    <t xml:space="preserve"> Lexus GS 1998&gt;</t>
  </si>
  <si>
    <t xml:space="preserve"> Lexus GS 2005&gt;</t>
  </si>
  <si>
    <t xml:space="preserve"> Lexus IS 1999&gt;</t>
  </si>
  <si>
    <t xml:space="preserve"> Lexus IS 2006&gt;</t>
  </si>
  <si>
    <t xml:space="preserve"> Lexus RX 1999&gt;</t>
  </si>
  <si>
    <t xml:space="preserve"> Lexus RX 2004&gt;</t>
  </si>
  <si>
    <t xml:space="preserve"> Lexus RX 2009&gt;</t>
  </si>
  <si>
    <t xml:space="preserve"> Mazda 2 2007&gt;</t>
  </si>
  <si>
    <t xml:space="preserve"> Mazda 3 2003&gt;</t>
  </si>
  <si>
    <t xml:space="preserve">Стекло противотуманки sport </t>
  </si>
  <si>
    <t xml:space="preserve"> Mazda 3 2009&gt;</t>
  </si>
  <si>
    <t xml:space="preserve">ФОНАРЬ ЗАДНЕГО ХОДА </t>
  </si>
  <si>
    <t xml:space="preserve"> Mazda 323 BF 1985&gt;</t>
  </si>
  <si>
    <t xml:space="preserve"> Mazda 323 BG 1989&gt;</t>
  </si>
  <si>
    <t xml:space="preserve"> Mazda 323 BH 1994&gt;</t>
  </si>
  <si>
    <t xml:space="preserve"> Mazda 323 BJ/Protege 1998&gt;</t>
  </si>
  <si>
    <t xml:space="preserve"> Mazda 323 F 1989&gt;</t>
  </si>
  <si>
    <t xml:space="preserve"> Mazda 323 F 1994&gt;</t>
  </si>
  <si>
    <t xml:space="preserve"> Mazda 5 2005&gt;</t>
  </si>
  <si>
    <t xml:space="preserve"> Mazda 6 2002&gt;</t>
  </si>
  <si>
    <t xml:space="preserve"> Mazda 6 2008&gt;</t>
  </si>
  <si>
    <t xml:space="preserve"> Mazda 626 GC 1982&gt;</t>
  </si>
  <si>
    <t xml:space="preserve"> Mazda 626 GD/GV 1987&gt;</t>
  </si>
  <si>
    <t xml:space="preserve"> Mazda 626 GE 1992&gt;</t>
  </si>
  <si>
    <t xml:space="preserve"> Mazda 626 GF/GW 1997&gt;</t>
  </si>
  <si>
    <t xml:space="preserve"> Mazda CX-7 2006&gt;</t>
  </si>
  <si>
    <t xml:space="preserve">РАСШИРИТЕЛЬНЫЙ БАЧОК </t>
  </si>
  <si>
    <t xml:space="preserve"> Mazda CX-9 2006&gt;</t>
  </si>
  <si>
    <t xml:space="preserve"> Mazda MPV 1996&gt;</t>
  </si>
  <si>
    <t xml:space="preserve">Крыло переднее без отверстия </t>
  </si>
  <si>
    <t xml:space="preserve"> Mazda MPV 1999&gt;</t>
  </si>
  <si>
    <t xml:space="preserve"> Mazda Premacy 1999&gt;</t>
  </si>
  <si>
    <t xml:space="preserve"> Mazda RX-8 2003&gt;</t>
  </si>
  <si>
    <t xml:space="preserve"> Mazda Tribute 2001&gt;</t>
  </si>
  <si>
    <t xml:space="preserve"> Mercedes Benz 207D-410 1981&gt;</t>
  </si>
  <si>
    <t xml:space="preserve">ЗАДНЯЯ ПАНЕЛЬ </t>
  </si>
  <si>
    <t xml:space="preserve">СТЕКЛО ЗАДНЕГО ФОНАРЯ </t>
  </si>
  <si>
    <t xml:space="preserve">СТУПЕНЬ </t>
  </si>
  <si>
    <t>Prasco</t>
  </si>
  <si>
    <t xml:space="preserve"> Mercedes Benz A-Class W168 1997&gt;</t>
  </si>
  <si>
    <t xml:space="preserve"> Mercedes Benz A-Class W169 2004&gt;</t>
  </si>
  <si>
    <t xml:space="preserve"> Mercedes Benz C-Class W202 1993&gt;</t>
  </si>
  <si>
    <t xml:space="preserve">Передняя рама </t>
  </si>
  <si>
    <t xml:space="preserve">ПОВОРОТНИК </t>
  </si>
  <si>
    <t xml:space="preserve">Указатель поворота желтый (93-96) </t>
  </si>
  <si>
    <t xml:space="preserve"> Mercedes Benz C-Class W203 2000&gt;</t>
  </si>
  <si>
    <t xml:space="preserve">Молдинг переднего бампера с хромом, без отверстийлевый </t>
  </si>
  <si>
    <t>DEPO</t>
  </si>
  <si>
    <t xml:space="preserve">СТОП ЛАМПА </t>
  </si>
  <si>
    <t xml:space="preserve"> Mercedes Benz C-Class W204 2007&gt;</t>
  </si>
  <si>
    <t xml:space="preserve"> Mercedes Benz CLK-Class C208 1997&gt;</t>
  </si>
  <si>
    <t xml:space="preserve"> Mercedes Benz CLK-Class C209 2002&gt;</t>
  </si>
  <si>
    <t xml:space="preserve"> Mercedes Benz E-Class W210 1995&gt;</t>
  </si>
  <si>
    <t xml:space="preserve">Диффузор кондиционера </t>
  </si>
  <si>
    <t xml:space="preserve">Передняя фара правая </t>
  </si>
  <si>
    <t xml:space="preserve"> Mercedes Benz E-Class W211 2002&gt;</t>
  </si>
  <si>
    <t xml:space="preserve">ХРОМ НА ЛЕНТУ БАМПЕРА ПЕР. </t>
  </si>
  <si>
    <t xml:space="preserve"> Mercedes Benz E-Class W212 2009&gt;</t>
  </si>
  <si>
    <t xml:space="preserve"> Mercedes Benz ML-Class W163 1998&gt;</t>
  </si>
  <si>
    <t xml:space="preserve"> Mercedes Benz ML-Class W164 2005&gt;</t>
  </si>
  <si>
    <t xml:space="preserve"> Mercedes Benz S-Class W220 1998&gt;</t>
  </si>
  <si>
    <t xml:space="preserve">Капот (98-02) </t>
  </si>
  <si>
    <t xml:space="preserve"> Mercedes Benz SL-Class R230 2001&gt;</t>
  </si>
  <si>
    <t xml:space="preserve"> Mercedes Benz SLK-Class R170 1996&gt;</t>
  </si>
  <si>
    <t xml:space="preserve"> Mercedes Benz Sprinter 1995&gt;</t>
  </si>
  <si>
    <t>View max</t>
  </si>
  <si>
    <t xml:space="preserve"> Mercedes Benz Sprinter 2000&gt;</t>
  </si>
  <si>
    <t xml:space="preserve"> Mercedes Benz Sprinter 2006&gt;</t>
  </si>
  <si>
    <t xml:space="preserve"> Mercedes Benz Vito 1996&gt;</t>
  </si>
  <si>
    <t xml:space="preserve"> Mercedes Benz Vito 2003&gt;</t>
  </si>
  <si>
    <t xml:space="preserve"> Mercedes Benz W123 1976&gt;</t>
  </si>
  <si>
    <t xml:space="preserve"> Mercedes Benz W124 1985&gt;</t>
  </si>
  <si>
    <t xml:space="preserve"> Mercedes Benz W126 1980&gt;</t>
  </si>
  <si>
    <t xml:space="preserve"> Mercedes Benz W140 1991&gt;</t>
  </si>
  <si>
    <t xml:space="preserve"> Mercedes Benz W201 1983&gt;</t>
  </si>
  <si>
    <t xml:space="preserve"> Mini Cooper 2001&gt;</t>
  </si>
  <si>
    <t xml:space="preserve">Боковое зеркало электрика с обогревом, грунт 388-BMD080TP </t>
  </si>
  <si>
    <t xml:space="preserve"> Mitsubishi ASX 2010&gt;</t>
  </si>
  <si>
    <t xml:space="preserve"> Mitsubishi Carisma 1995&gt;</t>
  </si>
  <si>
    <t xml:space="preserve"> Mitsubishi Colt 1991&gt;</t>
  </si>
  <si>
    <t xml:space="preserve"> Mitsubishi Colt 1995&gt;</t>
  </si>
  <si>
    <t xml:space="preserve"> Mitsubishi Colt 2004&gt;</t>
  </si>
  <si>
    <t xml:space="preserve"> Mitsubishi Eclipse 1995&gt;</t>
  </si>
  <si>
    <t xml:space="preserve"> Mitsubishi Eclipse 2000&gt;</t>
  </si>
  <si>
    <t xml:space="preserve"> Mitsubishi Eclipse 2006&gt;</t>
  </si>
  <si>
    <t xml:space="preserve"> Mitsubishi Galant 1988&gt;</t>
  </si>
  <si>
    <t xml:space="preserve"> Mitsubishi Galant 1992&gt;</t>
  </si>
  <si>
    <t xml:space="preserve">Стекло противотуманной фары правое </t>
  </si>
  <si>
    <t xml:space="preserve"> Mitsubishi Galant 1997&gt;</t>
  </si>
  <si>
    <t xml:space="preserve"> Mitsubishi Galant 2004&gt;</t>
  </si>
  <si>
    <t xml:space="preserve"> Mitsubishi L200 2005&gt;</t>
  </si>
  <si>
    <t xml:space="preserve"> Mitsubishi Lancer 1983&gt;</t>
  </si>
  <si>
    <t xml:space="preserve"> Mitsubishi Lancer 1988&gt;</t>
  </si>
  <si>
    <t xml:space="preserve"> Mitsubishi Lancer 1991&gt;</t>
  </si>
  <si>
    <t xml:space="preserve"> Mitsubishi Lancer 1995&gt;</t>
  </si>
  <si>
    <t xml:space="preserve"> Mitsubishi Lancer 2000&gt;</t>
  </si>
  <si>
    <t xml:space="preserve"> Mitsubishi Lancer 2004&gt;</t>
  </si>
  <si>
    <t xml:space="preserve">НАКЛАДКА БАМПЕРА </t>
  </si>
  <si>
    <t xml:space="preserve"> Mitsubishi Lancer 2007&gt;</t>
  </si>
  <si>
    <t xml:space="preserve"> Mitsubishi Outlander 2003&gt;</t>
  </si>
  <si>
    <t xml:space="preserve"> Mitsubishi Outlander 2007&gt;</t>
  </si>
  <si>
    <t xml:space="preserve"> Mitsubishi Outlander 2010&gt;</t>
  </si>
  <si>
    <t xml:space="preserve"> Mitsubishi Pajero 1991&gt;</t>
  </si>
  <si>
    <t xml:space="preserve"> Mitsubishi Pajero 1999&gt;</t>
  </si>
  <si>
    <t xml:space="preserve"> Mitsubishi Pajero 2006&gt;</t>
  </si>
  <si>
    <t xml:space="preserve"> Mitsubishi Pajero Sport 1996&gt;</t>
  </si>
  <si>
    <t xml:space="preserve"> Nissan Almera Classic 2006&gt;</t>
  </si>
  <si>
    <t xml:space="preserve"> Nissan Almera N15 1995&gt;</t>
  </si>
  <si>
    <t xml:space="preserve"> Nissan Almera N16 2000&gt;</t>
  </si>
  <si>
    <t xml:space="preserve"> Nissan Altima 2002&gt;</t>
  </si>
  <si>
    <t xml:space="preserve"> Nissan Frontier 2001&gt;</t>
  </si>
  <si>
    <t xml:space="preserve"> Nissan Juke 2010&gt;</t>
  </si>
  <si>
    <t xml:space="preserve"> Nissan Maxima A34 2004&gt;</t>
  </si>
  <si>
    <t xml:space="preserve"> Nissan Maxima QX32 1995&gt;</t>
  </si>
  <si>
    <t xml:space="preserve"> Nissan Maxima QX33 2000&gt;</t>
  </si>
  <si>
    <t xml:space="preserve"> Nissan Micra K11 1992&gt;</t>
  </si>
  <si>
    <t xml:space="preserve"> Nissan Micra K12 2003&gt;</t>
  </si>
  <si>
    <t xml:space="preserve"> Nissan Micra K13 2010&gt;</t>
  </si>
  <si>
    <t xml:space="preserve"> Nissan Murano 2004&gt;</t>
  </si>
  <si>
    <t xml:space="preserve"> Nissan Murano 2008&gt;</t>
  </si>
  <si>
    <t xml:space="preserve"> Nissan Note 2006&gt;</t>
  </si>
  <si>
    <t xml:space="preserve"> Nissan Pathfinder 2005&gt;</t>
  </si>
  <si>
    <t xml:space="preserve"> Nissan Patrol 1997&gt;</t>
  </si>
  <si>
    <t xml:space="preserve"> Nissan Primera P10 1990&gt;</t>
  </si>
  <si>
    <t xml:space="preserve"> Nissan Primera P11 1996&gt;</t>
  </si>
  <si>
    <t xml:space="preserve"> Nissan Primera P12 2002&gt;</t>
  </si>
  <si>
    <t xml:space="preserve"> Nissan Qashqai 2007&gt;</t>
  </si>
  <si>
    <t xml:space="preserve"> Nissan Quest 2004&gt;</t>
  </si>
  <si>
    <t xml:space="preserve"> Nissan Sunny N13 1986&gt;</t>
  </si>
  <si>
    <t xml:space="preserve"> Nissan Sunny N14 1991&gt;</t>
  </si>
  <si>
    <t xml:space="preserve"> Nissan Teana 2004&gt;</t>
  </si>
  <si>
    <t xml:space="preserve"> Nissan Teana 2008&gt;</t>
  </si>
  <si>
    <t xml:space="preserve"> Nissan Terrano 1987&gt;</t>
  </si>
  <si>
    <t xml:space="preserve"> Nissan Tiida 2007&gt;</t>
  </si>
  <si>
    <t xml:space="preserve"> Nissan X-Trail 2001&gt;</t>
  </si>
  <si>
    <t xml:space="preserve"> Nissan X-Trail 2007&gt;</t>
  </si>
  <si>
    <t xml:space="preserve"> Opel Agila 2000&gt;</t>
  </si>
  <si>
    <t xml:space="preserve"> Opel Agila 2007&gt;</t>
  </si>
  <si>
    <t xml:space="preserve"> Opel Antara 2006&gt;</t>
  </si>
  <si>
    <t xml:space="preserve"> Opel Ascona 1981&gt;</t>
  </si>
  <si>
    <t xml:space="preserve"> Opel Astra F 1991&gt;</t>
  </si>
  <si>
    <t xml:space="preserve">Боковое зеркало комплект, тюн., эл., с поворотом  388-OPD043TALZ </t>
  </si>
  <si>
    <t xml:space="preserve">ЖЕЛЕЗО ВОКРУГ БЕНЗОБАКА </t>
  </si>
  <si>
    <t xml:space="preserve"> Opel Astra G 1998&gt;</t>
  </si>
  <si>
    <t xml:space="preserve"> Opel Astra H 2004&gt;</t>
  </si>
  <si>
    <t xml:space="preserve"> Opel Astra J 2009&gt;</t>
  </si>
  <si>
    <t xml:space="preserve"> Opel Corsa B 1993&gt;</t>
  </si>
  <si>
    <t xml:space="preserve">Надкрыльник задний левый 3/5 D </t>
  </si>
  <si>
    <t xml:space="preserve"> Opel Corsa C 2000&gt;</t>
  </si>
  <si>
    <t xml:space="preserve"> Opel Corsa D 2006&gt;</t>
  </si>
  <si>
    <t xml:space="preserve"> Opel Insignia 2008&gt;</t>
  </si>
  <si>
    <t xml:space="preserve"> Opel Kadett E 1984&gt;</t>
  </si>
  <si>
    <t xml:space="preserve">Задний фонарь левый SDN (DJ) </t>
  </si>
  <si>
    <t xml:space="preserve"> Opel Meriva 2003&gt;</t>
  </si>
  <si>
    <t xml:space="preserve"> Opel Meriva 2010&gt;</t>
  </si>
  <si>
    <t xml:space="preserve"> Opel Movano 1998&gt;</t>
  </si>
  <si>
    <t xml:space="preserve"> Opel Movano 2010&gt;</t>
  </si>
  <si>
    <t xml:space="preserve"> Opel Omega A 1986&gt;</t>
  </si>
  <si>
    <t xml:space="preserve">Решетка серая (86-90) </t>
  </si>
  <si>
    <t xml:space="preserve"> Opel Omega B 1994&gt;</t>
  </si>
  <si>
    <t xml:space="preserve"> Opel Sintra 1996&gt;</t>
  </si>
  <si>
    <t xml:space="preserve"> Opel Tigra 1994&gt;</t>
  </si>
  <si>
    <t xml:space="preserve"> Opel Vectra A 1988&gt;</t>
  </si>
  <si>
    <t xml:space="preserve">Радиатор печки (178x175x42) </t>
  </si>
  <si>
    <t xml:space="preserve"> Opel Vectra B 1995&gt;</t>
  </si>
  <si>
    <t xml:space="preserve"> Opel Vectra C 2002&gt;</t>
  </si>
  <si>
    <t xml:space="preserve"> Opel Zafira A 1999&gt;</t>
  </si>
  <si>
    <t xml:space="preserve">Бампер передний грунт </t>
  </si>
  <si>
    <t xml:space="preserve"> Opel Zafira B 2005&gt;</t>
  </si>
  <si>
    <t xml:space="preserve"> Peugeot 106 1991&gt;</t>
  </si>
  <si>
    <t xml:space="preserve"> Peugeot 106 1996&gt;</t>
  </si>
  <si>
    <t xml:space="preserve"> Peugeot 107 2005&gt;</t>
  </si>
  <si>
    <t xml:space="preserve"> Peugeot 205 1983&gt;</t>
  </si>
  <si>
    <t xml:space="preserve"> Peugeot 206 1998&gt;</t>
  </si>
  <si>
    <t xml:space="preserve">Бампер передний с отверстиями для противотуманных фар и спойлером (98-02) </t>
  </si>
  <si>
    <t xml:space="preserve">Молдинг заднего крыла левый 2D </t>
  </si>
  <si>
    <t xml:space="preserve">Молдинг заднего крыла правый 2D </t>
  </si>
  <si>
    <t>Oran</t>
  </si>
  <si>
    <t xml:space="preserve"> Peugeot 206+ 2009&gt;</t>
  </si>
  <si>
    <t xml:space="preserve"> Peugeot 207 2006&gt;</t>
  </si>
  <si>
    <t xml:space="preserve"> Peugeot 306 1997&gt;</t>
  </si>
  <si>
    <t xml:space="preserve"> Peugeot 307 2001&gt;</t>
  </si>
  <si>
    <t xml:space="preserve">Бампер передний серый грунт. без отверстий под противотуманки (05-) </t>
  </si>
  <si>
    <t xml:space="preserve"> Peugeot 308 2007&gt;</t>
  </si>
  <si>
    <t xml:space="preserve"> Peugeot 309 1985&gt;</t>
  </si>
  <si>
    <t xml:space="preserve"> Peugeot 405 1987&gt;</t>
  </si>
  <si>
    <t xml:space="preserve"> Peugeot 406 1995&gt;</t>
  </si>
  <si>
    <t xml:space="preserve"> Peugeot 406 1999&gt;</t>
  </si>
  <si>
    <t xml:space="preserve"> Peugeot 407 2004&gt;</t>
  </si>
  <si>
    <t xml:space="preserve">Фартук </t>
  </si>
  <si>
    <t xml:space="preserve"> Peugeot 408 2010&gt;</t>
  </si>
  <si>
    <t xml:space="preserve"> Peugeot 607 2000&gt;</t>
  </si>
  <si>
    <t xml:space="preserve"> Pontiac Grand Prix SE 1997&gt;</t>
  </si>
  <si>
    <t xml:space="preserve">Бампер задний </t>
  </si>
  <si>
    <t xml:space="preserve"> Pontiac Vibe 2003&gt;</t>
  </si>
  <si>
    <t xml:space="preserve"> Pontiac Vibe 2009&gt;</t>
  </si>
  <si>
    <t xml:space="preserve"> Renault 19 1988&gt;</t>
  </si>
  <si>
    <t xml:space="preserve">Арка заднего крыла левая 2D </t>
  </si>
  <si>
    <t xml:space="preserve"> Renault 21 1986&gt;</t>
  </si>
  <si>
    <t xml:space="preserve"> Renault Clio 1990&gt;</t>
  </si>
  <si>
    <t xml:space="preserve">Передняя фара левая электр H4 (96-) </t>
  </si>
  <si>
    <t xml:space="preserve"> Renault Clio 2005&gt;</t>
  </si>
  <si>
    <t xml:space="preserve"> Renault Clio/Symbol 1998&gt;</t>
  </si>
  <si>
    <t>VIC</t>
  </si>
  <si>
    <t xml:space="preserve"> Renault Clio/Symbol 2001&gt;</t>
  </si>
  <si>
    <t xml:space="preserve">Задний фонарь комплект LED, тюн., красно-белый, прозрач. </t>
  </si>
  <si>
    <t xml:space="preserve"> Renault Duster 2010&gt;</t>
  </si>
  <si>
    <t xml:space="preserve"> Renault Espace 1991&gt;</t>
  </si>
  <si>
    <t xml:space="preserve"> Renault Fluence 2010&gt;</t>
  </si>
  <si>
    <t xml:space="preserve"> Renault Kangoo 1997&gt;</t>
  </si>
  <si>
    <t xml:space="preserve"> Renault Kangoo 2003&gt;</t>
  </si>
  <si>
    <t xml:space="preserve"> Renault Kangoo 2008&gt;</t>
  </si>
  <si>
    <t xml:space="preserve"> Renault Laguna 1993&gt;</t>
  </si>
  <si>
    <t xml:space="preserve"> Renault Laguna 2000&gt;</t>
  </si>
  <si>
    <t xml:space="preserve"> Renault Laguna 2007&gt;</t>
  </si>
  <si>
    <t xml:space="preserve"> Renault Logan 2005&gt;</t>
  </si>
  <si>
    <t xml:space="preserve"> Renault Master 1997&gt;</t>
  </si>
  <si>
    <t xml:space="preserve"> Renault Megane 1995&gt;</t>
  </si>
  <si>
    <t xml:space="preserve">Противотуманная фара правая (Laguna 94-99) </t>
  </si>
  <si>
    <t xml:space="preserve"> Renault Megane 1999&gt;</t>
  </si>
  <si>
    <t xml:space="preserve"> Renault Megane 2002&gt;</t>
  </si>
  <si>
    <t xml:space="preserve"> Renault Megane 2008&gt;</t>
  </si>
  <si>
    <t xml:space="preserve"> Renault Modus 2004&gt;</t>
  </si>
  <si>
    <t xml:space="preserve"> Renault Sandero 2008&gt;</t>
  </si>
  <si>
    <t xml:space="preserve"> Renault Scenic 1996&gt;</t>
  </si>
  <si>
    <t xml:space="preserve"> Renault Scenic 1999&gt;</t>
  </si>
  <si>
    <t xml:space="preserve"> Renault Scenic 2003&gt;</t>
  </si>
  <si>
    <t xml:space="preserve">ПЛАСТМАССА НАД РЕШЭТКОЙ </t>
  </si>
  <si>
    <t xml:space="preserve"> Renault Symbol/Thalia 2008&gt;</t>
  </si>
  <si>
    <t xml:space="preserve"> Renault Trafic/Opel Vivaro/Nissan Primastar 2002&gt;</t>
  </si>
  <si>
    <t xml:space="preserve"> Renault Twingo 1993&gt;</t>
  </si>
  <si>
    <t xml:space="preserve"> Renault Twingo 2007&gt;</t>
  </si>
  <si>
    <t xml:space="preserve"> Rover 200 1989&gt;</t>
  </si>
  <si>
    <t xml:space="preserve"> Rover 200 1995&gt;</t>
  </si>
  <si>
    <t xml:space="preserve"> Rover 25 2000&gt;</t>
  </si>
  <si>
    <t xml:space="preserve"> Rover 400 1995&gt;</t>
  </si>
  <si>
    <t xml:space="preserve"> Rover 600 1993&gt;</t>
  </si>
  <si>
    <t xml:space="preserve"> Rover 75 1998&gt;</t>
  </si>
  <si>
    <t xml:space="preserve"> SAAB 9-3 1998&gt;</t>
  </si>
  <si>
    <t xml:space="preserve"> SAAB 9-3 2002&gt;</t>
  </si>
  <si>
    <t xml:space="preserve"> Seat Ibiza 2008&gt;</t>
  </si>
  <si>
    <t xml:space="preserve"> Seat Ibiza/Cordoba 1993&gt;</t>
  </si>
  <si>
    <t xml:space="preserve">Бампер передний </t>
  </si>
  <si>
    <t xml:space="preserve"> Seat Ibiza/Cordoba 1999&gt;</t>
  </si>
  <si>
    <t xml:space="preserve"> Seat Ibiza/Cordoba 2002&gt;</t>
  </si>
  <si>
    <t xml:space="preserve"> Seat Leon 2005&gt;</t>
  </si>
  <si>
    <t xml:space="preserve"> Seat Toledo 1991&gt;</t>
  </si>
  <si>
    <t xml:space="preserve"> Seat Toledo 1998&gt;</t>
  </si>
  <si>
    <t xml:space="preserve"> Seat Toledo/Altea 2004&gt;</t>
  </si>
  <si>
    <t xml:space="preserve"> Skoda Fabia 1999&gt;</t>
  </si>
  <si>
    <t xml:space="preserve"> Skoda Fabia/Roomster 2007&gt;</t>
  </si>
  <si>
    <t xml:space="preserve"> Skoda Felicia 1994&gt;</t>
  </si>
  <si>
    <t xml:space="preserve"> Skoda Octavia 1996&gt;</t>
  </si>
  <si>
    <t xml:space="preserve"> Skoda Octavia 2004&gt;</t>
  </si>
  <si>
    <t xml:space="preserve"> Skoda Superb 2008&gt;</t>
  </si>
  <si>
    <t xml:space="preserve"> Skoda Yeti 2010&gt;</t>
  </si>
  <si>
    <t xml:space="preserve"> Subaru Forester 1997&gt;</t>
  </si>
  <si>
    <t xml:space="preserve"> Subaru Forester 2003&gt;</t>
  </si>
  <si>
    <t xml:space="preserve"> Subaru Forester 2008&gt;</t>
  </si>
  <si>
    <t xml:space="preserve"> Subaru Impreza 1992&gt;</t>
  </si>
  <si>
    <t xml:space="preserve"> Subaru Impreza 2000&gt;</t>
  </si>
  <si>
    <t xml:space="preserve"> Subaru Impreza 2007&gt;</t>
  </si>
  <si>
    <t xml:space="preserve"> Subaru Legacy/Outback 1993&gt;</t>
  </si>
  <si>
    <t xml:space="preserve"> Subaru Legacy/Outback 1998&gt;</t>
  </si>
  <si>
    <t xml:space="preserve"> Subaru Legacy/Outback 2003&gt;</t>
  </si>
  <si>
    <t xml:space="preserve"> Subaru Legacy/Outback 2009&gt;</t>
  </si>
  <si>
    <t xml:space="preserve"> Suzuki Baleno 1995&gt;</t>
  </si>
  <si>
    <t xml:space="preserve"> Suzuki Baleno 1998&gt;</t>
  </si>
  <si>
    <t xml:space="preserve"> Suzuki Grand Vitara 1998&gt;</t>
  </si>
  <si>
    <t xml:space="preserve"> Suzuki Grand Vitara 2006&gt;</t>
  </si>
  <si>
    <t xml:space="preserve"> Suzuki Ignis 2003&gt;</t>
  </si>
  <si>
    <t xml:space="preserve"> Suzuki Liana 2002&gt;</t>
  </si>
  <si>
    <t xml:space="preserve"> Suzuki Swift 2005&gt;</t>
  </si>
  <si>
    <t xml:space="preserve"> Suzuki SX-4 2006&gt;</t>
  </si>
  <si>
    <t xml:space="preserve">НАДКРЫЛЬНИКИ (ПЕРЕДНИИ) </t>
  </si>
  <si>
    <t xml:space="preserve"> Toyota 4 Runner 2003&gt;</t>
  </si>
  <si>
    <t xml:space="preserve"> Toyota Auris 2006&gt;</t>
  </si>
  <si>
    <t xml:space="preserve"> Toyota Avensis 1997&gt;</t>
  </si>
  <si>
    <t xml:space="preserve"> Toyota Avensis 2003&gt;</t>
  </si>
  <si>
    <t xml:space="preserve"> Toyota Avensis 2009&gt;</t>
  </si>
  <si>
    <t xml:space="preserve"> Toyota Aygo 2005&gt;</t>
  </si>
  <si>
    <t xml:space="preserve"> Toyota Camry XV10 1991&gt;</t>
  </si>
  <si>
    <t xml:space="preserve"> Toyota Camry XV20 1996&gt;</t>
  </si>
  <si>
    <t xml:space="preserve"> Toyota Camry XV30 2001&gt;</t>
  </si>
  <si>
    <t xml:space="preserve">ДЕМФЕР КАПОТА </t>
  </si>
  <si>
    <t xml:space="preserve"> Toyota Camry XV40 2006&gt;</t>
  </si>
  <si>
    <t xml:space="preserve"> Toyota Camry XV50 2011&gt;</t>
  </si>
  <si>
    <t xml:space="preserve"> Toyota Carina AT171 1988&gt;</t>
  </si>
  <si>
    <t xml:space="preserve">Подкрылок </t>
  </si>
  <si>
    <t xml:space="preserve"> Toyota Carina E 1992&gt;</t>
  </si>
  <si>
    <t xml:space="preserve"> Toyota Celica 2000&gt;</t>
  </si>
  <si>
    <t xml:space="preserve"> Toyota Corolla 2003&gt; USA</t>
  </si>
  <si>
    <t xml:space="preserve"> Toyota Corolla E100 1991&gt;</t>
  </si>
  <si>
    <t xml:space="preserve"> Toyota Corolla E110 1995&gt;</t>
  </si>
  <si>
    <t xml:space="preserve"> Toyota Corolla E120/E130 2000&gt;</t>
  </si>
  <si>
    <t xml:space="preserve"> Toyota Corolla E140/E150 2006&gt;</t>
  </si>
  <si>
    <t xml:space="preserve"> Toyota Corolla E80 1983&gt;</t>
  </si>
  <si>
    <t xml:space="preserve"> Toyota Corolla E90 1987&gt;</t>
  </si>
  <si>
    <t xml:space="preserve"> Toyota Corolla Verso 2002&gt;</t>
  </si>
  <si>
    <t xml:space="preserve"> Toyota Echo 2000&gt;</t>
  </si>
  <si>
    <t xml:space="preserve"> Toyota HiAce 1996&gt;</t>
  </si>
  <si>
    <t xml:space="preserve"> Toyota Highlander 2001&gt;</t>
  </si>
  <si>
    <t xml:space="preserve"> Toyota Highlander 2007&gt;</t>
  </si>
  <si>
    <t xml:space="preserve"> Toyota Highlander 2010&gt;</t>
  </si>
  <si>
    <t xml:space="preserve"> Toyota Hilux 2005&gt;</t>
  </si>
  <si>
    <t xml:space="preserve"> Toyota Land Cruiser J100 1998&gt;</t>
  </si>
  <si>
    <t xml:space="preserve"> Toyota Land Cruiser J200 2008&gt;</t>
  </si>
  <si>
    <t xml:space="preserve"> Toyota Land Cruiser Prado J120 2002&gt;</t>
  </si>
  <si>
    <t xml:space="preserve"> Toyota Land Cruiser Prado J90 1996&gt;</t>
  </si>
  <si>
    <t xml:space="preserve"> Toyota Matrix 2003&gt;</t>
  </si>
  <si>
    <t xml:space="preserve"> Toyota Matrix 2009&gt;</t>
  </si>
  <si>
    <t xml:space="preserve"> Toyota Previa 1990&gt;</t>
  </si>
  <si>
    <t xml:space="preserve"> Toyota Prius 2003&gt;</t>
  </si>
  <si>
    <t xml:space="preserve"> Toyota Prius 2009&gt;</t>
  </si>
  <si>
    <t xml:space="preserve"> Toyota RAV4 1994&gt;</t>
  </si>
  <si>
    <t xml:space="preserve"> Toyota RAV4 2000&gt;</t>
  </si>
  <si>
    <t xml:space="preserve"> Toyota RAV4 2005&gt;</t>
  </si>
  <si>
    <t xml:space="preserve">ЭЛ. КОРРЕКТОР ФАРЫ </t>
  </si>
  <si>
    <t xml:space="preserve"> Toyota RAV4 2013&gt;</t>
  </si>
  <si>
    <t xml:space="preserve"> Toyota Scion tC 2005&gt;</t>
  </si>
  <si>
    <t xml:space="preserve"> Toyota Scion xA 2004&gt;</t>
  </si>
  <si>
    <t xml:space="preserve"> Toyota Scion xB 2003&gt;</t>
  </si>
  <si>
    <t xml:space="preserve"> Toyota Sienna 2004&gt;</t>
  </si>
  <si>
    <t xml:space="preserve"> Toyota Sienna 2010&gt;</t>
  </si>
  <si>
    <t xml:space="preserve"> Toyota Solara 1999&gt;</t>
  </si>
  <si>
    <t xml:space="preserve"> Toyota Solara 2004&gt;</t>
  </si>
  <si>
    <t xml:space="preserve"> Toyota Starlet 1996&gt;</t>
  </si>
  <si>
    <t xml:space="preserve"> Toyota Venza 2008&gt;</t>
  </si>
  <si>
    <t xml:space="preserve"> Toyota Yaris 1999&gt;</t>
  </si>
  <si>
    <t xml:space="preserve"> Toyota Yaris 2005&gt;</t>
  </si>
  <si>
    <t xml:space="preserve"> Toyota Yaris 2012&gt;</t>
  </si>
  <si>
    <t xml:space="preserve"> Lada 2105/2107</t>
  </si>
  <si>
    <t xml:space="preserve"> Lada 2108</t>
  </si>
  <si>
    <t xml:space="preserve"> VW Beetle 1998&gt;</t>
  </si>
  <si>
    <t xml:space="preserve"> VW Bora 1998&gt;</t>
  </si>
  <si>
    <t xml:space="preserve">КРЕПЛЕНИЕ ВЕНТИЛЯТОРА </t>
  </si>
  <si>
    <t xml:space="preserve"> VW Caddy 2004&gt;</t>
  </si>
  <si>
    <t xml:space="preserve"> VW Crafter 2006&gt;</t>
  </si>
  <si>
    <t xml:space="preserve"> VW Golf II/Jetta 1983&gt;</t>
  </si>
  <si>
    <t xml:space="preserve">ВЕТРОВИК </t>
  </si>
  <si>
    <t xml:space="preserve">Глушитель VW Golf II (1,3-1,6L 1984-1996) </t>
  </si>
  <si>
    <t>Autopal</t>
  </si>
  <si>
    <t xml:space="preserve">Резонатор VW Golf II (1,3-1,6L 1984-1996) </t>
  </si>
  <si>
    <t xml:space="preserve"> VW Golf III/Vento 1991&gt;</t>
  </si>
  <si>
    <t xml:space="preserve">Указатель поворота правый желтый (1H1, 1H5, 1E7) 09/91-08/97 </t>
  </si>
  <si>
    <t xml:space="preserve"> VW Golf IV 1997&gt;</t>
  </si>
  <si>
    <t xml:space="preserve">Задний фонарь бело-зеленый левый </t>
  </si>
  <si>
    <t xml:space="preserve">Фонарь задний (прозрач. стекло) серебрянный/ бриллиант, компл </t>
  </si>
  <si>
    <t xml:space="preserve"> VW Golf V 2003&gt;</t>
  </si>
  <si>
    <t xml:space="preserve"> VW Golf V Plus 2004&gt;</t>
  </si>
  <si>
    <t xml:space="preserve"> VW Golf VI 2009&gt;</t>
  </si>
  <si>
    <t xml:space="preserve"> VW Jetta 2005&gt;</t>
  </si>
  <si>
    <t xml:space="preserve"> VW Jetta 2011&gt;</t>
  </si>
  <si>
    <t xml:space="preserve"> VW LT 1997&gt;</t>
  </si>
  <si>
    <t xml:space="preserve"> VW Lupo 1998&gt;</t>
  </si>
  <si>
    <t xml:space="preserve"> VW Passat B2 1981&gt;</t>
  </si>
  <si>
    <t xml:space="preserve"> VW Passat B3 1988&gt;</t>
  </si>
  <si>
    <t xml:space="preserve"> VW Passat B4 1993&gt;</t>
  </si>
  <si>
    <t xml:space="preserve">Фальш-панельсеребр. прав.длин. </t>
  </si>
  <si>
    <t xml:space="preserve"> VW Passat B5 1996&gt;</t>
  </si>
  <si>
    <t xml:space="preserve">ПЛАСТМАССА ПОД КАПОТ </t>
  </si>
  <si>
    <t xml:space="preserve"> VW Passat B5+ 2000&gt;</t>
  </si>
  <si>
    <t xml:space="preserve">ЗАГЛУШКА В ПОРОГ ПОД ОТВЕРСТИЕ ДОНКРАТА </t>
  </si>
  <si>
    <t xml:space="preserve"> VW Passat B6 2005&gt;</t>
  </si>
  <si>
    <t xml:space="preserve"> VW Passat B7 2011&gt;</t>
  </si>
  <si>
    <t xml:space="preserve"> VW Passat CC 2009&gt;</t>
  </si>
  <si>
    <t xml:space="preserve"> VW Polo 1981&gt;</t>
  </si>
  <si>
    <t xml:space="preserve"> VW Polo 1999&gt;</t>
  </si>
  <si>
    <t xml:space="preserve"> VW Polo 2002&gt;</t>
  </si>
  <si>
    <t xml:space="preserve"> VW Polo 2005&gt;</t>
  </si>
  <si>
    <t xml:space="preserve"> VW Polo 2010&gt;</t>
  </si>
  <si>
    <t xml:space="preserve">ЗАДНИЙ ФОНАРЬ Х/Б </t>
  </si>
  <si>
    <t xml:space="preserve"> VW Polo Classic/Caddy 1994&gt;</t>
  </si>
  <si>
    <t xml:space="preserve"> VW Sharan/Ford Galaxy/Seat Alhambra 1995&gt;</t>
  </si>
  <si>
    <t xml:space="preserve"> VW Sharan/Ford Galaxy/Seat Alhambra 2000&gt;</t>
  </si>
  <si>
    <t xml:space="preserve"> VW Tiguan 2007&gt;</t>
  </si>
  <si>
    <t xml:space="preserve"> VW Touareg 2003&gt;</t>
  </si>
  <si>
    <t xml:space="preserve"> VW Touran 2003&gt;</t>
  </si>
  <si>
    <t xml:space="preserve"> VW Touran 2007&gt;</t>
  </si>
  <si>
    <t xml:space="preserve">Решетка в капот </t>
  </si>
  <si>
    <t xml:space="preserve"> VW Touran 2010&gt;</t>
  </si>
  <si>
    <t xml:space="preserve"> VW Transporter T2 1979&gt;</t>
  </si>
  <si>
    <t xml:space="preserve"> VW Transporter T4 1990&gt;</t>
  </si>
  <si>
    <t xml:space="preserve">ПАНЕЛЬ ПОЛА </t>
  </si>
  <si>
    <t xml:space="preserve">Указатель поворота черный комплект  09/90-&gt; </t>
  </si>
  <si>
    <t xml:space="preserve"> VW Transporter T5 2003&gt;</t>
  </si>
  <si>
    <t xml:space="preserve"> Volvo 440/460 1987&gt;</t>
  </si>
  <si>
    <t xml:space="preserve">Стекло передней фары правое (94-) </t>
  </si>
  <si>
    <t xml:space="preserve"> Volvo 850 1991&gt;</t>
  </si>
  <si>
    <t xml:space="preserve">Стекло передней фары правое (-94) </t>
  </si>
  <si>
    <t xml:space="preserve"> Volvo 940/960 1991&gt;</t>
  </si>
  <si>
    <t xml:space="preserve">Стекло передней фарф левое </t>
  </si>
  <si>
    <t xml:space="preserve"> Volvo FL10 1995&gt;</t>
  </si>
  <si>
    <t xml:space="preserve"> Volvo S40/V40 1996&gt;</t>
  </si>
  <si>
    <t xml:space="preserve"> Volvo S40/V50 2004&gt;</t>
  </si>
  <si>
    <t xml:space="preserve"> Volvo S60 2000&gt;</t>
  </si>
  <si>
    <t xml:space="preserve"> Volvo S70/V70 1997&gt;</t>
  </si>
  <si>
    <t xml:space="preserve"> Volvo S80 1998&gt;</t>
  </si>
  <si>
    <t xml:space="preserve"> Volvo V70/XC70 2000&gt;</t>
  </si>
  <si>
    <t xml:space="preserve"> Volvo XC90 2003&gt;</t>
  </si>
  <si>
    <t xml:space="preserve"> Автолампочки</t>
  </si>
  <si>
    <t xml:space="preserve">H1-24V-100W </t>
  </si>
  <si>
    <t xml:space="preserve">H3-12V-100W </t>
  </si>
  <si>
    <t xml:space="preserve">H4-12V-100/90W-P43T Ксенобрайт комплект </t>
  </si>
  <si>
    <t xml:space="preserve">H4-24V-100/90W-P43T </t>
  </si>
  <si>
    <t xml:space="preserve">H7-12V-100W </t>
  </si>
  <si>
    <t xml:space="preserve">H7-12V-100W (X) Xenobrite </t>
  </si>
  <si>
    <t xml:space="preserve">Газоразрядная лампа </t>
  </si>
  <si>
    <t xml:space="preserve">Комплект аварийный (H4 12V) с предохранителями  (10,15,30А) </t>
  </si>
  <si>
    <t xml:space="preserve">Лампа накаливания 55/50Вт, 24V (основная фара) </t>
  </si>
  <si>
    <t xml:space="preserve">Лампа накаливания H1 12V- 55W (P14,5s) (+50% света) </t>
  </si>
  <si>
    <t xml:space="preserve">Лампа накаливания WY5W 12V-5W (W2,1x9,5d) </t>
  </si>
  <si>
    <t xml:space="preserve"> КЛИПСЫ, ПИСТОНЫ</t>
  </si>
  <si>
    <t xml:space="preserve">Пластиковые держатели 50 шт в упаковке </t>
  </si>
  <si>
    <t>Smilga</t>
  </si>
  <si>
    <t xml:space="preserve">ПЛАСТМАССОВЫЕ ДЕРЖАТЕЛИ </t>
  </si>
  <si>
    <t xml:space="preserve">КРОНШТЕЙН ПЕР.ФАРИ </t>
  </si>
  <si>
    <t>Неизвестный производитель</t>
  </si>
  <si>
    <t>ITSA</t>
  </si>
  <si>
    <t>Наименование</t>
  </si>
  <si>
    <t>Номер производителя</t>
  </si>
  <si>
    <t>Производитель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</si>
</sst>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0" borderId="0" xfId="1" applyAlignment="1" applyProtection="1"/>
    <xf numFmtId="0" fontId="2" fillId="2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456"/>
  <sheetViews>
    <sheetView tabSelected="1" workbookViewId="0">
      <selection activeCell="F8" sqref="F8"/>
    </sheetView>
  </sheetViews>
  <sheetFormatPr defaultRowHeight="15" outlineLevelRow="1" x14ac:dyDescent="0.25"/>
  <cols>
    <col min="1" max="1" width="0.140625" customWidth="1"/>
    <col min="2" max="2" width="77.140625" bestFit="1" customWidth="1"/>
    <col min="3" max="3" width="17.85546875" bestFit="1" customWidth="1"/>
    <col min="4" max="4" width="28" bestFit="1" customWidth="1"/>
  </cols>
  <sheetData>
    <row r="1" spans="1:4" x14ac:dyDescent="0.25">
      <c r="B1" t="s">
        <v>828</v>
      </c>
      <c r="C1" t="s">
        <v>829</v>
      </c>
      <c r="D1" t="s">
        <v>830</v>
      </c>
    </row>
    <row r="2" spans="1:4" x14ac:dyDescent="0.25">
      <c r="A2" t="s">
        <v>0</v>
      </c>
      <c r="B2" s="2" t="s">
        <v>0</v>
      </c>
      <c r="C2" s="2"/>
      <c r="D2" s="2"/>
    </row>
    <row r="3" spans="1:4" outlineLevel="1" x14ac:dyDescent="0.25">
      <c r="A3" t="s">
        <v>0</v>
      </c>
      <c r="B3" t="s">
        <v>1</v>
      </c>
      <c r="C3" s="1" t="str">
        <f>HYPERLINK("http://продеталь.рф/search.html?article=HD20050A","HD20050A")</f>
        <v>HD20050A</v>
      </c>
      <c r="D3" t="s">
        <v>2</v>
      </c>
    </row>
    <row r="4" spans="1:4" outlineLevel="1" x14ac:dyDescent="0.25">
      <c r="A4" t="s">
        <v>0</v>
      </c>
      <c r="B4" t="s">
        <v>3</v>
      </c>
      <c r="C4" s="1" t="str">
        <f>HYPERLINK("http://продеталь.рф/search.html?article=20661401","20661401")</f>
        <v>20661401</v>
      </c>
      <c r="D4" t="s">
        <v>4</v>
      </c>
    </row>
    <row r="5" spans="1:4" outlineLevel="1" x14ac:dyDescent="0.25">
      <c r="A5" t="s">
        <v>0</v>
      </c>
      <c r="B5" t="s">
        <v>3</v>
      </c>
      <c r="C5" s="1" t="str">
        <f>HYPERLINK("http://продеталь.рф/search.html?article=20661301","20661301")</f>
        <v>20661301</v>
      </c>
      <c r="D5" t="s">
        <v>4</v>
      </c>
    </row>
    <row r="6" spans="1:4" outlineLevel="1" x14ac:dyDescent="0.25">
      <c r="A6" t="s">
        <v>0</v>
      </c>
      <c r="B6" t="s">
        <v>5</v>
      </c>
      <c r="C6" s="1" t="str">
        <f>HYPERLINK("http://продеталь.рф/search.html?article=PHD11080AR","PHD11080AR")</f>
        <v>PHD11080AR</v>
      </c>
      <c r="D6" t="s">
        <v>6</v>
      </c>
    </row>
    <row r="7" spans="1:4" outlineLevel="1" x14ac:dyDescent="0.25">
      <c r="A7" t="s">
        <v>0</v>
      </c>
      <c r="B7" t="s">
        <v>5</v>
      </c>
      <c r="C7" s="1" t="str">
        <f>HYPERLINK("http://продеталь.рф/search.html?article=PHD11080AL","PHD11080AL")</f>
        <v>PHD11080AL</v>
      </c>
      <c r="D7" t="s">
        <v>6</v>
      </c>
    </row>
    <row r="8" spans="1:4" x14ac:dyDescent="0.25">
      <c r="A8" t="s">
        <v>7</v>
      </c>
      <c r="B8" s="2" t="s">
        <v>7</v>
      </c>
      <c r="C8" s="2"/>
      <c r="D8" s="2"/>
    </row>
    <row r="9" spans="1:4" outlineLevel="1" x14ac:dyDescent="0.25">
      <c r="A9" t="s">
        <v>7</v>
      </c>
      <c r="B9" t="s">
        <v>8</v>
      </c>
      <c r="C9" s="1" t="str">
        <f>HYPERLINK("http://продеталь.рф/search.html?article=AC423940","AC423940")</f>
        <v>AC423940</v>
      </c>
      <c r="D9" t="s">
        <v>9</v>
      </c>
    </row>
    <row r="10" spans="1:4" x14ac:dyDescent="0.25">
      <c r="A10" t="s">
        <v>10</v>
      </c>
      <c r="B10" s="2" t="s">
        <v>10</v>
      </c>
      <c r="C10" s="2"/>
      <c r="D10" s="2"/>
    </row>
    <row r="11" spans="1:4" outlineLevel="1" x14ac:dyDescent="0.25">
      <c r="A11" t="s">
        <v>10</v>
      </c>
      <c r="B11" t="s">
        <v>11</v>
      </c>
      <c r="C11" s="1" t="str">
        <f>HYPERLINK("http://продеталь.рф/search.html?article=GD6936","GD6936")</f>
        <v>GD6936</v>
      </c>
      <c r="D11" t="s">
        <v>2</v>
      </c>
    </row>
    <row r="12" spans="1:4" outlineLevel="1" x14ac:dyDescent="0.25">
      <c r="A12" t="s">
        <v>10</v>
      </c>
      <c r="B12" t="s">
        <v>5</v>
      </c>
      <c r="C12" s="1" t="str">
        <f>HYPERLINK("http://продеталь.рф/search.html?article=PHD11099AR","PHD11099AR")</f>
        <v>PHD11099AR</v>
      </c>
      <c r="D12" t="s">
        <v>6</v>
      </c>
    </row>
    <row r="13" spans="1:4" outlineLevel="1" x14ac:dyDescent="0.25">
      <c r="A13" t="s">
        <v>10</v>
      </c>
      <c r="B13" t="s">
        <v>5</v>
      </c>
      <c r="C13" s="1" t="str">
        <f>HYPERLINK("http://продеталь.рф/search.html?article=PHD11099AL","PHD11099AL")</f>
        <v>PHD11099AL</v>
      </c>
      <c r="D13" t="s">
        <v>6</v>
      </c>
    </row>
    <row r="14" spans="1:4" outlineLevel="1" x14ac:dyDescent="0.25">
      <c r="A14" t="s">
        <v>10</v>
      </c>
      <c r="B14" t="s">
        <v>12</v>
      </c>
      <c r="C14" s="1" t="str">
        <f>HYPERLINK("http://продеталь.рф/search.html?article=ACX10930","ACX10930")</f>
        <v>ACX10930</v>
      </c>
      <c r="D14" t="s">
        <v>9</v>
      </c>
    </row>
    <row r="15" spans="1:4" outlineLevel="1" x14ac:dyDescent="0.25">
      <c r="A15" t="s">
        <v>10</v>
      </c>
      <c r="B15" t="s">
        <v>13</v>
      </c>
      <c r="C15" s="1" t="str">
        <f>HYPERLINK("http://продеталь.рф/search.html?article=ACX1000R0","ACX1000R0")</f>
        <v>ACX1000R0</v>
      </c>
      <c r="D15" t="s">
        <v>9</v>
      </c>
    </row>
    <row r="16" spans="1:4" x14ac:dyDescent="0.25">
      <c r="A16" t="s">
        <v>14</v>
      </c>
      <c r="B16" s="2" t="s">
        <v>14</v>
      </c>
      <c r="C16" s="2"/>
      <c r="D16" s="2"/>
    </row>
    <row r="17" spans="1:4" outlineLevel="1" x14ac:dyDescent="0.25">
      <c r="A17" t="s">
        <v>14</v>
      </c>
      <c r="B17" t="s">
        <v>15</v>
      </c>
      <c r="C17" s="1" t="str">
        <f>HYPERLINK("http://продеталь.рф/search.html?article=3010013","3010013")</f>
        <v>3010013</v>
      </c>
      <c r="D17" t="s">
        <v>4</v>
      </c>
    </row>
    <row r="18" spans="1:4" outlineLevel="1" x14ac:dyDescent="0.25">
      <c r="A18" t="s">
        <v>14</v>
      </c>
      <c r="B18" t="s">
        <v>3</v>
      </c>
      <c r="C18" s="1" t="str">
        <f>HYPERLINK("http://продеталь.рф/search.html?article=205438082","205438082")</f>
        <v>205438082</v>
      </c>
      <c r="D18" t="s">
        <v>4</v>
      </c>
    </row>
    <row r="19" spans="1:4" outlineLevel="1" x14ac:dyDescent="0.25">
      <c r="A19" t="s">
        <v>14</v>
      </c>
      <c r="B19" t="s">
        <v>3</v>
      </c>
      <c r="C19" s="1" t="str">
        <f>HYPERLINK("http://продеталь.рф/search.html?article=205437082","205437082")</f>
        <v>205437082</v>
      </c>
      <c r="D19" t="s">
        <v>4</v>
      </c>
    </row>
    <row r="20" spans="1:4" outlineLevel="1" x14ac:dyDescent="0.25">
      <c r="A20" t="s">
        <v>14</v>
      </c>
      <c r="B20" t="s">
        <v>16</v>
      </c>
      <c r="C20" s="1" t="str">
        <f>HYPERLINK("http://продеталь.рф/search.html?article=185127052","185127052")</f>
        <v>185127052</v>
      </c>
      <c r="D20" t="s">
        <v>4</v>
      </c>
    </row>
    <row r="21" spans="1:4" x14ac:dyDescent="0.25">
      <c r="A21" t="s">
        <v>17</v>
      </c>
      <c r="B21" s="2" t="s">
        <v>17</v>
      </c>
      <c r="C21" s="2"/>
      <c r="D21" s="2"/>
    </row>
    <row r="22" spans="1:4" outlineLevel="1" x14ac:dyDescent="0.25">
      <c r="A22" t="s">
        <v>17</v>
      </c>
      <c r="B22" t="s">
        <v>11</v>
      </c>
      <c r="C22" s="1" t="str">
        <f>HYPERLINK("http://продеталь.рф/search.html?article=14702","14702")</f>
        <v>14702</v>
      </c>
      <c r="D22" t="s">
        <v>18</v>
      </c>
    </row>
    <row r="23" spans="1:4" outlineLevel="1" x14ac:dyDescent="0.25">
      <c r="A23" t="s">
        <v>17</v>
      </c>
      <c r="B23" t="s">
        <v>5</v>
      </c>
      <c r="C23" s="1" t="str">
        <f>HYPERLINK("http://продеталь.рф/search.html?article=AF400016L0L00","AF400016L0L00")</f>
        <v>AF400016L0L00</v>
      </c>
      <c r="D23" t="s">
        <v>9</v>
      </c>
    </row>
    <row r="24" spans="1:4" outlineLevel="1" x14ac:dyDescent="0.25">
      <c r="A24" t="s">
        <v>17</v>
      </c>
      <c r="B24" t="s">
        <v>5</v>
      </c>
      <c r="C24" s="1" t="str">
        <f>HYPERLINK("http://продеталь.рф/search.html?article=AF400016L0R00","AF400016L0R00")</f>
        <v>AF400016L0R00</v>
      </c>
      <c r="D24" t="s">
        <v>9</v>
      </c>
    </row>
    <row r="25" spans="1:4" outlineLevel="1" x14ac:dyDescent="0.25">
      <c r="A25" t="s">
        <v>17</v>
      </c>
      <c r="B25" t="s">
        <v>19</v>
      </c>
      <c r="C25" s="1" t="str">
        <f>HYPERLINK("http://продеталь.рф/search.html?article=190569052","190569052")</f>
        <v>190569052</v>
      </c>
      <c r="D25" t="s">
        <v>4</v>
      </c>
    </row>
    <row r="26" spans="1:4" x14ac:dyDescent="0.25">
      <c r="A26" t="s">
        <v>20</v>
      </c>
      <c r="B26" s="2" t="s">
        <v>20</v>
      </c>
      <c r="C26" s="2"/>
      <c r="D26" s="2"/>
    </row>
    <row r="27" spans="1:4" outlineLevel="1" x14ac:dyDescent="0.25">
      <c r="A27" t="s">
        <v>20</v>
      </c>
      <c r="B27" t="s">
        <v>3</v>
      </c>
      <c r="C27" s="1" t="str">
        <f>HYPERLINK("http://продеталь.рф/search.html?article=205620082","205620082")</f>
        <v>205620082</v>
      </c>
      <c r="D27" t="s">
        <v>4</v>
      </c>
    </row>
    <row r="28" spans="1:4" outlineLevel="1" x14ac:dyDescent="0.25">
      <c r="A28" t="s">
        <v>20</v>
      </c>
      <c r="B28" t="s">
        <v>3</v>
      </c>
      <c r="C28" s="1" t="str">
        <f>HYPERLINK("http://продеталь.рф/search.html?article=205619082","205619082")</f>
        <v>205619082</v>
      </c>
      <c r="D28" t="s">
        <v>4</v>
      </c>
    </row>
    <row r="29" spans="1:4" outlineLevel="1" x14ac:dyDescent="0.25">
      <c r="A29" t="s">
        <v>20</v>
      </c>
      <c r="B29" t="s">
        <v>5</v>
      </c>
      <c r="C29" s="1" t="str">
        <f>HYPERLINK("http://продеталь.рф/search.html?article=212202","212202")</f>
        <v>212202</v>
      </c>
      <c r="D29" t="s">
        <v>21</v>
      </c>
    </row>
    <row r="30" spans="1:4" outlineLevel="1" x14ac:dyDescent="0.25">
      <c r="A30" t="s">
        <v>20</v>
      </c>
      <c r="B30" t="s">
        <v>5</v>
      </c>
      <c r="C30" s="1" t="str">
        <f>HYPERLINK("http://продеталь.рф/search.html?article=212201","212201")</f>
        <v>212201</v>
      </c>
      <c r="D30" t="s">
        <v>21</v>
      </c>
    </row>
    <row r="31" spans="1:4" outlineLevel="1" x14ac:dyDescent="0.25">
      <c r="A31" t="s">
        <v>20</v>
      </c>
      <c r="B31" t="s">
        <v>19</v>
      </c>
      <c r="C31" s="1" t="str">
        <f>HYPERLINK("http://продеталь.рф/search.html?article=195283052","195283052")</f>
        <v>195283052</v>
      </c>
      <c r="D31" t="s">
        <v>4</v>
      </c>
    </row>
    <row r="32" spans="1:4" x14ac:dyDescent="0.25">
      <c r="A32" t="s">
        <v>22</v>
      </c>
      <c r="B32" s="2" t="s">
        <v>22</v>
      </c>
      <c r="C32" s="2"/>
      <c r="D32" s="2"/>
    </row>
    <row r="33" spans="1:4" outlineLevel="1" x14ac:dyDescent="0.25">
      <c r="A33" t="s">
        <v>22</v>
      </c>
      <c r="B33" t="s">
        <v>11</v>
      </c>
      <c r="C33" s="1" t="str">
        <f>HYPERLINK("http://продеталь.рф/search.html?article=AD04003BA","AD04003BA")</f>
        <v>AD04003BA</v>
      </c>
      <c r="D33" t="s">
        <v>2</v>
      </c>
    </row>
    <row r="34" spans="1:4" outlineLevel="1" x14ac:dyDescent="0.25">
      <c r="A34" t="s">
        <v>22</v>
      </c>
      <c r="B34" t="s">
        <v>11</v>
      </c>
      <c r="C34" s="1" t="str">
        <f>HYPERLINK("http://продеталь.рф/search.html?article=AD04003BB","AD04003BB")</f>
        <v>AD04003BB</v>
      </c>
      <c r="D34" t="s">
        <v>2</v>
      </c>
    </row>
    <row r="35" spans="1:4" outlineLevel="1" x14ac:dyDescent="0.25">
      <c r="A35" t="s">
        <v>22</v>
      </c>
      <c r="B35" t="s">
        <v>15</v>
      </c>
      <c r="C35" s="1" t="str">
        <f>HYPERLINK("http://продеталь.рф/search.html?article=VADM1001KR","VADM1001KR")</f>
        <v>VADM1001KR</v>
      </c>
      <c r="D35" t="s">
        <v>6</v>
      </c>
    </row>
    <row r="36" spans="1:4" outlineLevel="1" x14ac:dyDescent="0.25">
      <c r="A36" t="s">
        <v>22</v>
      </c>
      <c r="B36" t="s">
        <v>23</v>
      </c>
      <c r="C36" s="1" t="str">
        <f>HYPERLINK("http://продеталь.рф/search.html?article=AU112622","AU112622")</f>
        <v>AU112622</v>
      </c>
      <c r="D36" t="s">
        <v>9</v>
      </c>
    </row>
    <row r="37" spans="1:4" outlineLevel="1" x14ac:dyDescent="0.25">
      <c r="A37" t="s">
        <v>22</v>
      </c>
      <c r="B37" t="s">
        <v>23</v>
      </c>
      <c r="C37" s="1" t="str">
        <f>HYPERLINK("http://продеталь.рф/search.html?article=AU112621","AU112621")</f>
        <v>AU112621</v>
      </c>
      <c r="D37" t="s">
        <v>9</v>
      </c>
    </row>
    <row r="38" spans="1:4" outlineLevel="1" x14ac:dyDescent="0.25">
      <c r="A38" t="s">
        <v>22</v>
      </c>
      <c r="B38" t="s">
        <v>24</v>
      </c>
      <c r="C38" s="1" t="str">
        <f>HYPERLINK("http://продеталь.рф/search.html?article=AU11001600L00","AU11001600L00")</f>
        <v>AU11001600L00</v>
      </c>
      <c r="D38" t="s">
        <v>9</v>
      </c>
    </row>
    <row r="39" spans="1:4" outlineLevel="1" x14ac:dyDescent="0.25">
      <c r="A39" t="s">
        <v>22</v>
      </c>
      <c r="B39" t="s">
        <v>24</v>
      </c>
      <c r="C39" s="1" t="str">
        <f>HYPERLINK("http://продеталь.рф/search.html?article=AU11001600R00","AU11001600R00")</f>
        <v>AU11001600R00</v>
      </c>
      <c r="D39" t="s">
        <v>9</v>
      </c>
    </row>
    <row r="40" spans="1:4" outlineLevel="1" x14ac:dyDescent="0.25">
      <c r="A40" t="s">
        <v>22</v>
      </c>
      <c r="B40" t="s">
        <v>25</v>
      </c>
      <c r="C40" s="1" t="str">
        <f>HYPERLINK("http://продеталь.рф/search.html?article=PAD88005K","PAD88005K")</f>
        <v>PAD88005K</v>
      </c>
      <c r="D40" t="s">
        <v>6</v>
      </c>
    </row>
    <row r="41" spans="1:4" outlineLevel="1" x14ac:dyDescent="0.25">
      <c r="A41" t="s">
        <v>22</v>
      </c>
      <c r="B41" t="s">
        <v>26</v>
      </c>
      <c r="C41" s="1" t="str">
        <f>HYPERLINK("http://продеталь.рф/search.html?article=PAD02004CH","PAD02004CH")</f>
        <v>PAD02004CH</v>
      </c>
      <c r="D41" t="s">
        <v>6</v>
      </c>
    </row>
    <row r="42" spans="1:4" outlineLevel="1" x14ac:dyDescent="0.25">
      <c r="A42" t="s">
        <v>22</v>
      </c>
      <c r="B42" t="s">
        <v>26</v>
      </c>
      <c r="C42" s="1" t="str">
        <f>HYPERLINK("http://продеталь.рф/search.html?article=PAD02004KA","PAD02004KA")</f>
        <v>PAD02004KA</v>
      </c>
      <c r="D42" t="s">
        <v>6</v>
      </c>
    </row>
    <row r="43" spans="1:4" outlineLevel="1" x14ac:dyDescent="0.25">
      <c r="A43" t="s">
        <v>22</v>
      </c>
      <c r="B43" t="s">
        <v>27</v>
      </c>
      <c r="C43" s="1" t="str">
        <f>HYPERLINK("http://продеталь.рф/search.html?article=PAD30003A","PAD30003A")</f>
        <v>PAD30003A</v>
      </c>
      <c r="D43" t="s">
        <v>6</v>
      </c>
    </row>
    <row r="44" spans="1:4" outlineLevel="1" x14ac:dyDescent="0.25">
      <c r="A44" t="s">
        <v>22</v>
      </c>
      <c r="B44" t="s">
        <v>3</v>
      </c>
      <c r="C44" s="1" t="str">
        <f>HYPERLINK("http://продеталь.рф/search.html?article=ZAD1108R","ZAD1108R")</f>
        <v>ZAD1108R</v>
      </c>
      <c r="D44" t="s">
        <v>6</v>
      </c>
    </row>
    <row r="45" spans="1:4" outlineLevel="1" x14ac:dyDescent="0.25">
      <c r="A45" t="s">
        <v>22</v>
      </c>
      <c r="B45" t="s">
        <v>3</v>
      </c>
      <c r="C45" s="1" t="str">
        <f>HYPERLINK("http://продеталь.рф/search.html?article=201737052","201737052")</f>
        <v>201737052</v>
      </c>
      <c r="D45" t="s">
        <v>4</v>
      </c>
    </row>
    <row r="46" spans="1:4" outlineLevel="1" x14ac:dyDescent="0.25">
      <c r="A46" t="s">
        <v>22</v>
      </c>
      <c r="B46" t="s">
        <v>3</v>
      </c>
      <c r="C46" s="1" t="str">
        <f>HYPERLINK("http://продеталь.рф/search.html?article=201736052","201736052")</f>
        <v>201736052</v>
      </c>
      <c r="D46" t="s">
        <v>4</v>
      </c>
    </row>
    <row r="47" spans="1:4" outlineLevel="1" x14ac:dyDescent="0.25">
      <c r="A47" t="s">
        <v>22</v>
      </c>
      <c r="B47" t="s">
        <v>19</v>
      </c>
      <c r="C47" s="1" t="str">
        <f>HYPERLINK("http://продеталь.рф/search.html?article=ZAD2002L","ZAD2002L")</f>
        <v>ZAD2002L</v>
      </c>
      <c r="D47" t="s">
        <v>6</v>
      </c>
    </row>
    <row r="48" spans="1:4" outlineLevel="1" x14ac:dyDescent="0.25">
      <c r="A48" t="s">
        <v>22</v>
      </c>
      <c r="B48" t="s">
        <v>28</v>
      </c>
      <c r="C48" s="1" t="str">
        <f>HYPERLINK("http://продеталь.рф/search.html?article=RA60420","RA60420")</f>
        <v>RA60420</v>
      </c>
      <c r="D48" t="s">
        <v>6</v>
      </c>
    </row>
    <row r="49" spans="1:4" outlineLevel="1" x14ac:dyDescent="0.25">
      <c r="A49" t="s">
        <v>22</v>
      </c>
      <c r="B49" t="s">
        <v>28</v>
      </c>
      <c r="C49" s="1" t="str">
        <f>HYPERLINK("http://продеталь.рф/search.html?article=RA60478","RA60478")</f>
        <v>RA60478</v>
      </c>
      <c r="D49" t="s">
        <v>6</v>
      </c>
    </row>
    <row r="50" spans="1:4" outlineLevel="1" x14ac:dyDescent="0.25">
      <c r="A50" t="s">
        <v>22</v>
      </c>
      <c r="B50" t="s">
        <v>29</v>
      </c>
      <c r="C50" s="1" t="str">
        <f>HYPERLINK("http://продеталь.рф/search.html?article=RP70220","RP70220")</f>
        <v>RP70220</v>
      </c>
      <c r="D50" t="s">
        <v>6</v>
      </c>
    </row>
    <row r="51" spans="1:4" outlineLevel="1" x14ac:dyDescent="0.25">
      <c r="A51" t="s">
        <v>22</v>
      </c>
      <c r="B51" t="s">
        <v>30</v>
      </c>
      <c r="C51" s="1" t="str">
        <f>HYPERLINK("http://продеталь.рф/search.html?article=PAD99025L","PAD99025L")</f>
        <v>PAD99025L</v>
      </c>
      <c r="D51" t="s">
        <v>6</v>
      </c>
    </row>
    <row r="52" spans="1:4" outlineLevel="1" x14ac:dyDescent="0.25">
      <c r="A52" t="s">
        <v>22</v>
      </c>
      <c r="B52" t="s">
        <v>12</v>
      </c>
      <c r="C52" s="1" t="str">
        <f>HYPERLINK("http://продеталь.рф/search.html?article=AD07002GA","AD07002GA")</f>
        <v>AD07002GA</v>
      </c>
      <c r="D52" t="s">
        <v>2</v>
      </c>
    </row>
    <row r="53" spans="1:4" outlineLevel="1" x14ac:dyDescent="0.25">
      <c r="A53" t="s">
        <v>22</v>
      </c>
      <c r="B53" t="s">
        <v>12</v>
      </c>
      <c r="C53" s="1" t="str">
        <f>HYPERLINK("http://продеталь.рф/search.html?article=AUD1739","AUD1739")</f>
        <v>AUD1739</v>
      </c>
      <c r="D53" t="s">
        <v>9</v>
      </c>
    </row>
    <row r="54" spans="1:4" outlineLevel="1" x14ac:dyDescent="0.25">
      <c r="A54" t="s">
        <v>22</v>
      </c>
      <c r="B54" t="s">
        <v>31</v>
      </c>
      <c r="C54" s="1" t="str">
        <f>HYPERLINK("http://продеталь.рф/search.html?article=R443839205BL","R443839205BL")</f>
        <v>R443839205BL</v>
      </c>
      <c r="D54" t="s">
        <v>6</v>
      </c>
    </row>
    <row r="55" spans="1:4" outlineLevel="1" x14ac:dyDescent="0.25">
      <c r="A55" t="s">
        <v>22</v>
      </c>
      <c r="B55" t="s">
        <v>31</v>
      </c>
      <c r="C55" s="1" t="str">
        <f>HYPERLINK("http://продеталь.рф/search.html?article=R443839206BR","R443839206BR")</f>
        <v>R443839206BR</v>
      </c>
      <c r="D55" t="s">
        <v>6</v>
      </c>
    </row>
    <row r="56" spans="1:4" outlineLevel="1" x14ac:dyDescent="0.25">
      <c r="A56" t="s">
        <v>22</v>
      </c>
      <c r="B56" t="s">
        <v>31</v>
      </c>
      <c r="C56" s="1" t="str">
        <f>HYPERLINK("http://продеталь.рф/search.html?article=R443837205CL","R443837205CL")</f>
        <v>R443837205CL</v>
      </c>
      <c r="D56" t="s">
        <v>6</v>
      </c>
    </row>
    <row r="57" spans="1:4" outlineLevel="1" x14ac:dyDescent="0.25">
      <c r="A57" t="s">
        <v>22</v>
      </c>
      <c r="B57" t="s">
        <v>31</v>
      </c>
      <c r="C57" s="1" t="str">
        <f>HYPERLINK("http://продеталь.рф/search.html?article=R443837206CR","R443837206CR")</f>
        <v>R443837206CR</v>
      </c>
      <c r="D57" t="s">
        <v>6</v>
      </c>
    </row>
    <row r="58" spans="1:4" outlineLevel="1" x14ac:dyDescent="0.25">
      <c r="A58" t="s">
        <v>22</v>
      </c>
      <c r="B58" t="s">
        <v>31</v>
      </c>
      <c r="C58" s="1" t="str">
        <f>HYPERLINK("http://продеталь.рф/search.html?article=R443837205FL","R443837205FL")</f>
        <v>R443837205FL</v>
      </c>
      <c r="D58" t="s">
        <v>6</v>
      </c>
    </row>
    <row r="59" spans="1:4" outlineLevel="1" x14ac:dyDescent="0.25">
      <c r="A59" t="s">
        <v>22</v>
      </c>
      <c r="B59" t="s">
        <v>32</v>
      </c>
      <c r="C59" s="1" t="str">
        <f>HYPERLINK("http://продеталь.рф/search.html?article=SADM1001ATL","SADM1001ATL")</f>
        <v>SADM1001ATL</v>
      </c>
      <c r="D59" t="s">
        <v>6</v>
      </c>
    </row>
    <row r="60" spans="1:4" outlineLevel="1" x14ac:dyDescent="0.25">
      <c r="A60" t="s">
        <v>22</v>
      </c>
      <c r="B60" t="s">
        <v>32</v>
      </c>
      <c r="C60" s="1" t="str">
        <f>HYPERLINK("http://продеталь.рф/search.html?article=SADM1001ATR","SADM1001ATR")</f>
        <v>SADM1001ATR</v>
      </c>
      <c r="D60" t="s">
        <v>6</v>
      </c>
    </row>
    <row r="61" spans="1:4" outlineLevel="1" x14ac:dyDescent="0.25">
      <c r="A61" t="s">
        <v>22</v>
      </c>
      <c r="B61" t="s">
        <v>16</v>
      </c>
      <c r="C61" s="1" t="str">
        <f>HYPERLINK("http://продеталь.рф/search.html?article=181911106","181911106")</f>
        <v>181911106</v>
      </c>
      <c r="D61" t="s">
        <v>4</v>
      </c>
    </row>
    <row r="62" spans="1:4" outlineLevel="1" x14ac:dyDescent="0.25">
      <c r="A62" t="s">
        <v>22</v>
      </c>
      <c r="B62" t="s">
        <v>16</v>
      </c>
      <c r="C62" s="1" t="str">
        <f>HYPERLINK("http://продеталь.рф/search.html?article=181910106","181910106")</f>
        <v>181910106</v>
      </c>
      <c r="D62" t="s">
        <v>4</v>
      </c>
    </row>
    <row r="63" spans="1:4" outlineLevel="1" x14ac:dyDescent="0.25">
      <c r="A63" t="s">
        <v>22</v>
      </c>
      <c r="B63" t="s">
        <v>16</v>
      </c>
      <c r="C63" s="1" t="str">
        <f>HYPERLINK("http://продеталь.рф/search.html?article=181911012","181911012")</f>
        <v>181911012</v>
      </c>
      <c r="D63" t="s">
        <v>4</v>
      </c>
    </row>
    <row r="64" spans="1:4" outlineLevel="1" x14ac:dyDescent="0.25">
      <c r="A64" t="s">
        <v>22</v>
      </c>
      <c r="B64" t="s">
        <v>16</v>
      </c>
      <c r="C64" s="1" t="str">
        <f>HYPERLINK("http://продеталь.рф/search.html?article=181910012","181910012")</f>
        <v>181910012</v>
      </c>
      <c r="D64" t="s">
        <v>4</v>
      </c>
    </row>
    <row r="65" spans="1:4" outlineLevel="1" x14ac:dyDescent="0.25">
      <c r="A65" t="s">
        <v>22</v>
      </c>
      <c r="B65" t="s">
        <v>13</v>
      </c>
      <c r="C65" s="1" t="str">
        <f>HYPERLINK("http://продеталь.рф/search.html?article=AD44001A","AD44001A")</f>
        <v>AD44001A</v>
      </c>
      <c r="D65" t="s">
        <v>2</v>
      </c>
    </row>
    <row r="66" spans="1:4" x14ac:dyDescent="0.25">
      <c r="A66" t="s">
        <v>33</v>
      </c>
      <c r="B66" s="2" t="s">
        <v>33</v>
      </c>
      <c r="C66" s="2"/>
      <c r="D66" s="2"/>
    </row>
    <row r="67" spans="1:4" outlineLevel="1" x14ac:dyDescent="0.25">
      <c r="A67" t="s">
        <v>33</v>
      </c>
      <c r="B67" t="s">
        <v>11</v>
      </c>
      <c r="C67" s="1" t="str">
        <f>HYPERLINK("http://продеталь.рф/search.html?article=AI10091160X","AI10091160X")</f>
        <v>AI10091160X</v>
      </c>
      <c r="D67" t="s">
        <v>34</v>
      </c>
    </row>
    <row r="68" spans="1:4" outlineLevel="1" x14ac:dyDescent="0.25">
      <c r="A68" t="s">
        <v>33</v>
      </c>
      <c r="B68" t="s">
        <v>15</v>
      </c>
      <c r="C68" s="1" t="str">
        <f>HYPERLINK("http://продеталь.рф/search.html?article=3020007","3020007")</f>
        <v>3020007</v>
      </c>
      <c r="D68" t="s">
        <v>4</v>
      </c>
    </row>
    <row r="69" spans="1:4" outlineLevel="1" x14ac:dyDescent="0.25">
      <c r="A69" t="s">
        <v>33</v>
      </c>
      <c r="B69" t="s">
        <v>15</v>
      </c>
      <c r="C69" s="1" t="str">
        <f>HYPERLINK("http://продеталь.рф/search.html?article=3020008","3020008")</f>
        <v>3020008</v>
      </c>
      <c r="D69" t="s">
        <v>4</v>
      </c>
    </row>
    <row r="70" spans="1:4" outlineLevel="1" x14ac:dyDescent="0.25">
      <c r="A70" t="s">
        <v>33</v>
      </c>
      <c r="B70" t="s">
        <v>15</v>
      </c>
      <c r="C70" s="1" t="str">
        <f>HYPERLINK("http://продеталь.рф/search.html?article=VADM1002KL","VADM1002KL")</f>
        <v>VADM1002KL</v>
      </c>
      <c r="D70" t="s">
        <v>6</v>
      </c>
    </row>
    <row r="71" spans="1:4" outlineLevel="1" x14ac:dyDescent="0.25">
      <c r="A71" t="s">
        <v>33</v>
      </c>
      <c r="B71" t="s">
        <v>15</v>
      </c>
      <c r="C71" s="1" t="str">
        <f>HYPERLINK("http://продеталь.рф/search.html?article=VADM1002KR","VADM1002KR")</f>
        <v>VADM1002KR</v>
      </c>
      <c r="D71" t="s">
        <v>6</v>
      </c>
    </row>
    <row r="72" spans="1:4" outlineLevel="1" x14ac:dyDescent="0.25">
      <c r="A72" t="s">
        <v>33</v>
      </c>
      <c r="B72" t="s">
        <v>23</v>
      </c>
      <c r="C72" s="1" t="str">
        <f>HYPERLINK("http://продеталь.рф/search.html?article=ZAD1915KR","ZAD1915KR")</f>
        <v>ZAD1915KR</v>
      </c>
      <c r="D72" t="s">
        <v>6</v>
      </c>
    </row>
    <row r="73" spans="1:4" outlineLevel="1" x14ac:dyDescent="0.25">
      <c r="A73" t="s">
        <v>33</v>
      </c>
      <c r="B73" t="s">
        <v>23</v>
      </c>
      <c r="C73" s="1" t="str">
        <f>HYPERLINK("http://продеталь.рф/search.html?article=ZAD1916YL","ZAD1916YL")</f>
        <v>ZAD1916YL</v>
      </c>
      <c r="D73" t="s">
        <v>6</v>
      </c>
    </row>
    <row r="74" spans="1:4" outlineLevel="1" x14ac:dyDescent="0.25">
      <c r="A74" t="s">
        <v>33</v>
      </c>
      <c r="B74" t="s">
        <v>23</v>
      </c>
      <c r="C74" s="1" t="str">
        <f>HYPERLINK("http://продеталь.рф/search.html?article=ZAD1916YR","ZAD1916YR")</f>
        <v>ZAD1916YR</v>
      </c>
      <c r="D74" t="s">
        <v>6</v>
      </c>
    </row>
    <row r="75" spans="1:4" outlineLevel="1" x14ac:dyDescent="0.25">
      <c r="A75" t="s">
        <v>33</v>
      </c>
      <c r="B75" t="s">
        <v>23</v>
      </c>
      <c r="C75" s="1" t="str">
        <f>HYPERLINK("http://продеталь.рф/search.html?article=ZAD1915KL","ZAD1915KL")</f>
        <v>ZAD1915KL</v>
      </c>
      <c r="D75" t="s">
        <v>6</v>
      </c>
    </row>
    <row r="76" spans="1:4" outlineLevel="1" x14ac:dyDescent="0.25">
      <c r="A76" t="s">
        <v>33</v>
      </c>
      <c r="B76" t="s">
        <v>23</v>
      </c>
      <c r="C76" s="1" t="str">
        <f>HYPERLINK("http://продеталь.рф/search.html?article=ZAD1916KR","ZAD1916KR")</f>
        <v>ZAD1916KR</v>
      </c>
      <c r="D76" t="s">
        <v>6</v>
      </c>
    </row>
    <row r="77" spans="1:4" outlineLevel="1" x14ac:dyDescent="0.25">
      <c r="A77" t="s">
        <v>33</v>
      </c>
      <c r="B77" t="s">
        <v>23</v>
      </c>
      <c r="C77" s="1" t="str">
        <f>HYPERLINK("http://продеталь.рф/search.html?article=ZAD1916TR","ZAD1916TR")</f>
        <v>ZAD1916TR</v>
      </c>
      <c r="D77" t="s">
        <v>6</v>
      </c>
    </row>
    <row r="78" spans="1:4" outlineLevel="1" x14ac:dyDescent="0.25">
      <c r="A78" t="s">
        <v>33</v>
      </c>
      <c r="B78" t="s">
        <v>35</v>
      </c>
      <c r="C78" s="1" t="str">
        <f>HYPERLINK("http://продеталь.рф/search.html?article=310104","310104")</f>
        <v>310104</v>
      </c>
      <c r="D78" t="s">
        <v>21</v>
      </c>
    </row>
    <row r="79" spans="1:4" outlineLevel="1" x14ac:dyDescent="0.25">
      <c r="A79" t="s">
        <v>33</v>
      </c>
      <c r="B79" t="s">
        <v>35</v>
      </c>
      <c r="C79" s="1" t="str">
        <f>HYPERLINK("http://продеталь.рф/search.html?article=PAD60000A","PAD60000A")</f>
        <v>PAD60000A</v>
      </c>
      <c r="D79" t="s">
        <v>6</v>
      </c>
    </row>
    <row r="80" spans="1:4" outlineLevel="1" x14ac:dyDescent="0.25">
      <c r="A80" t="s">
        <v>33</v>
      </c>
      <c r="B80" t="s">
        <v>1</v>
      </c>
      <c r="C80" s="1" t="str">
        <f>HYPERLINK("http://продеталь.рф/search.html?article=AU12001500000","AU12001500000")</f>
        <v>AU12001500000</v>
      </c>
      <c r="D80" t="s">
        <v>9</v>
      </c>
    </row>
    <row r="81" spans="1:4" outlineLevel="1" x14ac:dyDescent="0.25">
      <c r="A81" t="s">
        <v>33</v>
      </c>
      <c r="B81" t="s">
        <v>24</v>
      </c>
      <c r="C81" s="1" t="str">
        <f>HYPERLINK("http://продеталь.рф/search.html?article=99145L","99145L")</f>
        <v>99145L</v>
      </c>
      <c r="D81" t="s">
        <v>36</v>
      </c>
    </row>
    <row r="82" spans="1:4" outlineLevel="1" x14ac:dyDescent="0.25">
      <c r="A82" t="s">
        <v>33</v>
      </c>
      <c r="B82" t="s">
        <v>37</v>
      </c>
      <c r="C82" s="1" t="str">
        <f>HYPERLINK("http://продеталь.рф/search.html?article=PAD88001BL","PAD88001BL")</f>
        <v>PAD88001BL</v>
      </c>
      <c r="D82" t="s">
        <v>6</v>
      </c>
    </row>
    <row r="83" spans="1:4" outlineLevel="1" x14ac:dyDescent="0.25">
      <c r="A83" t="s">
        <v>33</v>
      </c>
      <c r="B83" t="s">
        <v>37</v>
      </c>
      <c r="C83" s="1" t="str">
        <f>HYPERLINK("http://продеталь.рф/search.html?article=PAD88001BR","PAD88001BR")</f>
        <v>PAD88001BR</v>
      </c>
      <c r="D83" t="s">
        <v>6</v>
      </c>
    </row>
    <row r="84" spans="1:4" outlineLevel="1" x14ac:dyDescent="0.25">
      <c r="A84" t="s">
        <v>33</v>
      </c>
      <c r="B84" t="s">
        <v>37</v>
      </c>
      <c r="C84" s="1" t="str">
        <f>HYPERLINK("http://продеталь.рф/search.html?article=PAD88001CL","PAD88001CL")</f>
        <v>PAD88001CL</v>
      </c>
      <c r="D84" t="s">
        <v>6</v>
      </c>
    </row>
    <row r="85" spans="1:4" outlineLevel="1" x14ac:dyDescent="0.25">
      <c r="A85" t="s">
        <v>33</v>
      </c>
      <c r="B85" t="s">
        <v>37</v>
      </c>
      <c r="C85" s="1" t="str">
        <f>HYPERLINK("http://продеталь.рф/search.html?article=PAD88001CR","PAD88001CR")</f>
        <v>PAD88001CR</v>
      </c>
      <c r="D85" t="s">
        <v>6</v>
      </c>
    </row>
    <row r="86" spans="1:4" outlineLevel="1" x14ac:dyDescent="0.25">
      <c r="A86" t="s">
        <v>33</v>
      </c>
      <c r="B86" t="s">
        <v>37</v>
      </c>
      <c r="C86" s="1" t="str">
        <f>HYPERLINK("http://продеталь.рф/search.html?article=PAD88001DL","PAD88001DL")</f>
        <v>PAD88001DL</v>
      </c>
      <c r="D86" t="s">
        <v>6</v>
      </c>
    </row>
    <row r="87" spans="1:4" outlineLevel="1" x14ac:dyDescent="0.25">
      <c r="A87" t="s">
        <v>33</v>
      </c>
      <c r="B87" t="s">
        <v>37</v>
      </c>
      <c r="C87" s="1" t="str">
        <f>HYPERLINK("http://продеталь.рф/search.html?article=PAD88001DR","PAD88001DR")</f>
        <v>PAD88001DR</v>
      </c>
      <c r="D87" t="s">
        <v>6</v>
      </c>
    </row>
    <row r="88" spans="1:4" outlineLevel="1" x14ac:dyDescent="0.25">
      <c r="A88" t="s">
        <v>33</v>
      </c>
      <c r="B88" t="s">
        <v>37</v>
      </c>
      <c r="C88" s="1" t="str">
        <f>HYPERLINK("http://продеталь.рф/search.html?article=PAD88002BL","PAD88002BL")</f>
        <v>PAD88002BL</v>
      </c>
      <c r="D88" t="s">
        <v>6</v>
      </c>
    </row>
    <row r="89" spans="1:4" outlineLevel="1" x14ac:dyDescent="0.25">
      <c r="A89" t="s">
        <v>33</v>
      </c>
      <c r="B89" t="s">
        <v>37</v>
      </c>
      <c r="C89" s="1" t="str">
        <f>HYPERLINK("http://продеталь.рф/search.html?article=PAD88002BR","PAD88002BR")</f>
        <v>PAD88002BR</v>
      </c>
      <c r="D89" t="s">
        <v>6</v>
      </c>
    </row>
    <row r="90" spans="1:4" outlineLevel="1" x14ac:dyDescent="0.25">
      <c r="A90" t="s">
        <v>33</v>
      </c>
      <c r="B90" t="s">
        <v>37</v>
      </c>
      <c r="C90" s="1" t="str">
        <f>HYPERLINK("http://продеталь.рф/search.html?article=PAD88002CL","PAD88002CL")</f>
        <v>PAD88002CL</v>
      </c>
      <c r="D90" t="s">
        <v>6</v>
      </c>
    </row>
    <row r="91" spans="1:4" outlineLevel="1" x14ac:dyDescent="0.25">
      <c r="A91" t="s">
        <v>33</v>
      </c>
      <c r="B91" t="s">
        <v>37</v>
      </c>
      <c r="C91" s="1" t="str">
        <f>HYPERLINK("http://продеталь.рф/search.html?article=PAD88002CR","PAD88002CR")</f>
        <v>PAD88002CR</v>
      </c>
      <c r="D91" t="s">
        <v>6</v>
      </c>
    </row>
    <row r="92" spans="1:4" outlineLevel="1" x14ac:dyDescent="0.25">
      <c r="A92" t="s">
        <v>33</v>
      </c>
      <c r="B92" t="s">
        <v>37</v>
      </c>
      <c r="C92" s="1" t="str">
        <f>HYPERLINK("http://продеталь.рф/search.html?article=PAD88002DL","PAD88002DL")</f>
        <v>PAD88002DL</v>
      </c>
      <c r="D92" t="s">
        <v>6</v>
      </c>
    </row>
    <row r="93" spans="1:4" outlineLevel="1" x14ac:dyDescent="0.25">
      <c r="A93" t="s">
        <v>33</v>
      </c>
      <c r="B93" t="s">
        <v>37</v>
      </c>
      <c r="C93" s="1" t="str">
        <f>HYPERLINK("http://продеталь.рф/search.html?article=PAD88002DR","PAD88002DR")</f>
        <v>PAD88002DR</v>
      </c>
      <c r="D93" t="s">
        <v>6</v>
      </c>
    </row>
    <row r="94" spans="1:4" outlineLevel="1" x14ac:dyDescent="0.25">
      <c r="A94" t="s">
        <v>33</v>
      </c>
      <c r="B94" t="s">
        <v>25</v>
      </c>
      <c r="C94" s="1" t="str">
        <f>HYPERLINK("http://продеталь.рф/search.html?article=AD88002K","AD88002K")</f>
        <v>AD88002K</v>
      </c>
      <c r="D94" t="s">
        <v>2</v>
      </c>
    </row>
    <row r="95" spans="1:4" outlineLevel="1" x14ac:dyDescent="0.25">
      <c r="A95" t="s">
        <v>33</v>
      </c>
      <c r="B95" t="s">
        <v>38</v>
      </c>
      <c r="C95" s="1" t="str">
        <f>HYPERLINK("http://продеталь.рф/search.html?article=PAD88001AL","PAD88001AL")</f>
        <v>PAD88001AL</v>
      </c>
      <c r="D95" t="s">
        <v>6</v>
      </c>
    </row>
    <row r="96" spans="1:4" outlineLevel="1" x14ac:dyDescent="0.25">
      <c r="A96" t="s">
        <v>33</v>
      </c>
      <c r="B96" t="s">
        <v>38</v>
      </c>
      <c r="C96" s="1" t="str">
        <f>HYPERLINK("http://продеталь.рф/search.html?article=PAD88001AR","PAD88001AR")</f>
        <v>PAD88001AR</v>
      </c>
      <c r="D96" t="s">
        <v>6</v>
      </c>
    </row>
    <row r="97" spans="1:4" outlineLevel="1" x14ac:dyDescent="0.25">
      <c r="A97" t="s">
        <v>33</v>
      </c>
      <c r="B97" t="s">
        <v>38</v>
      </c>
      <c r="C97" s="1" t="str">
        <f>HYPERLINK("http://продеталь.рф/search.html?article=PAD88002AL","PAD88002AL")</f>
        <v>PAD88002AL</v>
      </c>
      <c r="D97" t="s">
        <v>6</v>
      </c>
    </row>
    <row r="98" spans="1:4" outlineLevel="1" x14ac:dyDescent="0.25">
      <c r="A98" t="s">
        <v>33</v>
      </c>
      <c r="B98" t="s">
        <v>38</v>
      </c>
      <c r="C98" s="1" t="str">
        <f>HYPERLINK("http://продеталь.рф/search.html?article=PAD88002AR","PAD88002AR")</f>
        <v>PAD88002AR</v>
      </c>
      <c r="D98" t="s">
        <v>6</v>
      </c>
    </row>
    <row r="99" spans="1:4" outlineLevel="1" x14ac:dyDescent="0.25">
      <c r="A99" t="s">
        <v>33</v>
      </c>
      <c r="B99" t="s">
        <v>26</v>
      </c>
      <c r="C99" s="1" t="str">
        <f>HYPERLINK("http://продеталь.рф/search.html?article=PAD99022MR","PAD99022MR")</f>
        <v>PAD99022MR</v>
      </c>
      <c r="D99" t="s">
        <v>6</v>
      </c>
    </row>
    <row r="100" spans="1:4" outlineLevel="1" x14ac:dyDescent="0.25">
      <c r="A100" t="s">
        <v>33</v>
      </c>
      <c r="B100" t="s">
        <v>26</v>
      </c>
      <c r="C100" s="1" t="str">
        <f>HYPERLINK("http://продеталь.рф/search.html?article=PAD99022MC","PAD99022MC")</f>
        <v>PAD99022MC</v>
      </c>
      <c r="D100" t="s">
        <v>6</v>
      </c>
    </row>
    <row r="101" spans="1:4" outlineLevel="1" x14ac:dyDescent="0.25">
      <c r="A101" t="s">
        <v>33</v>
      </c>
      <c r="B101" t="s">
        <v>3</v>
      </c>
      <c r="C101" s="1" t="str">
        <f>HYPERLINK("http://продеталь.рф/search.html?article=205010082","205010082")</f>
        <v>205010082</v>
      </c>
      <c r="D101" t="s">
        <v>4</v>
      </c>
    </row>
    <row r="102" spans="1:4" outlineLevel="1" x14ac:dyDescent="0.25">
      <c r="A102" t="s">
        <v>33</v>
      </c>
      <c r="B102" t="s">
        <v>3</v>
      </c>
      <c r="C102" s="1" t="str">
        <f>HYPERLINK("http://продеталь.рф/search.html?article=205009082","205009082")</f>
        <v>205009082</v>
      </c>
      <c r="D102" t="s">
        <v>4</v>
      </c>
    </row>
    <row r="103" spans="1:4" outlineLevel="1" x14ac:dyDescent="0.25">
      <c r="A103" t="s">
        <v>33</v>
      </c>
      <c r="B103" t="s">
        <v>3</v>
      </c>
      <c r="C103" s="1" t="str">
        <f>HYPERLINK("http://продеталь.рф/search.html?article=ZAD1113L","ZAD1113L")</f>
        <v>ZAD1113L</v>
      </c>
      <c r="D103" t="s">
        <v>6</v>
      </c>
    </row>
    <row r="104" spans="1:4" outlineLevel="1" x14ac:dyDescent="0.25">
      <c r="A104" t="s">
        <v>33</v>
      </c>
      <c r="B104" t="s">
        <v>3</v>
      </c>
      <c r="C104" s="1" t="str">
        <f>HYPERLINK("http://продеталь.рф/search.html?article=ZAD1113KCL","ZAD1113KCL")</f>
        <v>ZAD1113KCL</v>
      </c>
      <c r="D104" t="s">
        <v>6</v>
      </c>
    </row>
    <row r="105" spans="1:4" outlineLevel="1" x14ac:dyDescent="0.25">
      <c r="A105" t="s">
        <v>33</v>
      </c>
      <c r="B105" t="s">
        <v>3</v>
      </c>
      <c r="C105" s="1" t="str">
        <f>HYPERLINK("http://продеталь.рф/search.html?article=ZAD1113KCR","ZAD1113KCR")</f>
        <v>ZAD1113KCR</v>
      </c>
      <c r="D105" t="s">
        <v>6</v>
      </c>
    </row>
    <row r="106" spans="1:4" outlineLevel="1" x14ac:dyDescent="0.25">
      <c r="A106" t="s">
        <v>33</v>
      </c>
      <c r="B106" t="s">
        <v>5</v>
      </c>
      <c r="C106" s="1" t="str">
        <f>HYPERLINK("http://продеталь.рф/search.html?article=306ADF008","306ADF008")</f>
        <v>306ADF008</v>
      </c>
      <c r="D106" t="s">
        <v>4</v>
      </c>
    </row>
    <row r="107" spans="1:4" outlineLevel="1" x14ac:dyDescent="0.25">
      <c r="A107" t="s">
        <v>33</v>
      </c>
      <c r="B107" t="s">
        <v>5</v>
      </c>
      <c r="C107" s="1" t="str">
        <f>HYPERLINK("http://продеталь.рф/search.html?article=306ADF007","306ADF007")</f>
        <v>306ADF007</v>
      </c>
      <c r="D107" t="s">
        <v>4</v>
      </c>
    </row>
    <row r="108" spans="1:4" outlineLevel="1" x14ac:dyDescent="0.25">
      <c r="A108" t="s">
        <v>33</v>
      </c>
      <c r="B108" t="s">
        <v>19</v>
      </c>
      <c r="C108" s="1" t="str">
        <f>HYPERLINK("http://продеталь.рф/search.html?article=ZAD2015KL","ZAD2015KL")</f>
        <v>ZAD2015KL</v>
      </c>
      <c r="D108" t="s">
        <v>6</v>
      </c>
    </row>
    <row r="109" spans="1:4" outlineLevel="1" x14ac:dyDescent="0.25">
      <c r="A109" t="s">
        <v>33</v>
      </c>
      <c r="B109" t="s">
        <v>19</v>
      </c>
      <c r="C109" s="1" t="str">
        <f>HYPERLINK("http://продеталь.рф/search.html?article=ZAD2015KR","ZAD2015KR")</f>
        <v>ZAD2015KR</v>
      </c>
      <c r="D109" t="s">
        <v>6</v>
      </c>
    </row>
    <row r="110" spans="1:4" outlineLevel="1" x14ac:dyDescent="0.25">
      <c r="A110" t="s">
        <v>33</v>
      </c>
      <c r="B110" t="s">
        <v>19</v>
      </c>
      <c r="C110" s="1" t="str">
        <f>HYPERLINK("http://продеталь.рф/search.html?article=ZAD2015CL","ZAD2015CL")</f>
        <v>ZAD2015CL</v>
      </c>
      <c r="D110" t="s">
        <v>6</v>
      </c>
    </row>
    <row r="111" spans="1:4" outlineLevel="1" x14ac:dyDescent="0.25">
      <c r="A111" t="s">
        <v>33</v>
      </c>
      <c r="B111" t="s">
        <v>19</v>
      </c>
      <c r="C111" s="1" t="str">
        <f>HYPERLINK("http://продеталь.рф/search.html?article=ZAD2015CR","ZAD2015CR")</f>
        <v>ZAD2015CR</v>
      </c>
      <c r="D111" t="s">
        <v>6</v>
      </c>
    </row>
    <row r="112" spans="1:4" outlineLevel="1" x14ac:dyDescent="0.25">
      <c r="A112" t="s">
        <v>33</v>
      </c>
      <c r="B112" t="s">
        <v>28</v>
      </c>
      <c r="C112" s="1" t="str">
        <f>HYPERLINK("http://продеталь.рф/search.html?article=RA60457A","RA60457A")</f>
        <v>RA60457A</v>
      </c>
      <c r="D112" t="s">
        <v>6</v>
      </c>
    </row>
    <row r="113" spans="1:4" outlineLevel="1" x14ac:dyDescent="0.25">
      <c r="A113" t="s">
        <v>33</v>
      </c>
      <c r="B113" t="s">
        <v>28</v>
      </c>
      <c r="C113" s="1" t="str">
        <f>HYPERLINK("http://продеталь.рф/search.html?article=RA60476A","RA60476A")</f>
        <v>RA60476A</v>
      </c>
      <c r="D113" t="s">
        <v>6</v>
      </c>
    </row>
    <row r="114" spans="1:4" outlineLevel="1" x14ac:dyDescent="0.25">
      <c r="A114" t="s">
        <v>33</v>
      </c>
      <c r="B114" t="s">
        <v>28</v>
      </c>
      <c r="C114" s="1" t="str">
        <f>HYPERLINK("http://продеталь.рф/search.html?article=RA60477A","RA60477A")</f>
        <v>RA60477A</v>
      </c>
      <c r="D114" t="s">
        <v>6</v>
      </c>
    </row>
    <row r="115" spans="1:4" outlineLevel="1" x14ac:dyDescent="0.25">
      <c r="A115" t="s">
        <v>33</v>
      </c>
      <c r="B115" t="s">
        <v>39</v>
      </c>
      <c r="C115" s="1" t="str">
        <f>HYPERLINK("http://продеталь.рф/search.html?article=AFV119","AFV119")</f>
        <v>AFV119</v>
      </c>
      <c r="D115" t="s">
        <v>6</v>
      </c>
    </row>
    <row r="116" spans="1:4" outlineLevel="1" x14ac:dyDescent="0.25">
      <c r="A116" t="s">
        <v>33</v>
      </c>
      <c r="B116" t="s">
        <v>40</v>
      </c>
      <c r="C116" s="1" t="str">
        <f>HYPERLINK("http://продеталь.рф/search.html?article=PAD99003KBR","PAD99003KBR")</f>
        <v>PAD99003KBR</v>
      </c>
      <c r="D116" t="s">
        <v>6</v>
      </c>
    </row>
    <row r="117" spans="1:4" outlineLevel="1" x14ac:dyDescent="0.25">
      <c r="A117" t="s">
        <v>33</v>
      </c>
      <c r="B117" t="s">
        <v>40</v>
      </c>
      <c r="C117" s="1" t="str">
        <f>HYPERLINK("http://продеталь.рф/search.html?article=PAD99003R","PAD99003R")</f>
        <v>PAD99003R</v>
      </c>
      <c r="D117" t="s">
        <v>6</v>
      </c>
    </row>
    <row r="118" spans="1:4" outlineLevel="1" x14ac:dyDescent="0.25">
      <c r="A118" t="s">
        <v>33</v>
      </c>
      <c r="B118" t="s">
        <v>41</v>
      </c>
      <c r="C118" s="1" t="str">
        <f>HYPERLINK("http://продеталь.рф/search.html?article=SAD1113L","SAD1113L")</f>
        <v>SAD1113L</v>
      </c>
      <c r="D118" t="s">
        <v>4</v>
      </c>
    </row>
    <row r="119" spans="1:4" outlineLevel="1" x14ac:dyDescent="0.25">
      <c r="A119" t="s">
        <v>33</v>
      </c>
      <c r="B119" t="s">
        <v>41</v>
      </c>
      <c r="C119" s="1" t="str">
        <f>HYPERLINK("http://продеталь.рф/search.html?article=SAD1113R","SAD1113R")</f>
        <v>SAD1113R</v>
      </c>
      <c r="D119" t="s">
        <v>4</v>
      </c>
    </row>
    <row r="120" spans="1:4" outlineLevel="1" x14ac:dyDescent="0.25">
      <c r="A120" t="s">
        <v>33</v>
      </c>
      <c r="B120" t="s">
        <v>16</v>
      </c>
      <c r="C120" s="1" t="str">
        <f>HYPERLINK("http://продеталь.рф/search.html?article=185002152","185002152")</f>
        <v>185002152</v>
      </c>
      <c r="D120" t="s">
        <v>4</v>
      </c>
    </row>
    <row r="121" spans="1:4" outlineLevel="1" x14ac:dyDescent="0.25">
      <c r="A121" t="s">
        <v>33</v>
      </c>
      <c r="B121" t="s">
        <v>16</v>
      </c>
      <c r="C121" s="1" t="str">
        <f>HYPERLINK("http://продеталь.рф/search.html?article=185001152","185001152")</f>
        <v>185001152</v>
      </c>
      <c r="D121" t="s">
        <v>4</v>
      </c>
    </row>
    <row r="122" spans="1:4" outlineLevel="1" x14ac:dyDescent="0.25">
      <c r="A122" t="s">
        <v>33</v>
      </c>
      <c r="B122" t="s">
        <v>16</v>
      </c>
      <c r="C122" s="1" t="str">
        <f>HYPERLINK("http://продеталь.рф/search.html?article=185001052","185001052")</f>
        <v>185001052</v>
      </c>
      <c r="D122" t="s">
        <v>4</v>
      </c>
    </row>
    <row r="123" spans="1:4" outlineLevel="1" x14ac:dyDescent="0.25">
      <c r="A123" t="s">
        <v>33</v>
      </c>
      <c r="B123" t="s">
        <v>42</v>
      </c>
      <c r="C123" s="1" t="str">
        <f>HYPERLINK("http://продеталь.рф/search.html?article=9EL139383031","9EL139383031")</f>
        <v>9EL139383031</v>
      </c>
      <c r="D123" t="s">
        <v>43</v>
      </c>
    </row>
    <row r="124" spans="1:4" x14ac:dyDescent="0.25">
      <c r="A124" t="s">
        <v>44</v>
      </c>
      <c r="B124" s="2" t="s">
        <v>44</v>
      </c>
      <c r="C124" s="2"/>
      <c r="D124" s="2"/>
    </row>
    <row r="125" spans="1:4" outlineLevel="1" x14ac:dyDescent="0.25">
      <c r="A125" t="s">
        <v>44</v>
      </c>
      <c r="B125" t="s">
        <v>45</v>
      </c>
      <c r="C125" s="1" t="str">
        <f>HYPERLINK("http://продеталь.рф/search.html?article=0009581","0009581")</f>
        <v>0009581</v>
      </c>
      <c r="D125" t="s">
        <v>46</v>
      </c>
    </row>
    <row r="126" spans="1:4" outlineLevel="1" x14ac:dyDescent="0.25">
      <c r="A126" t="s">
        <v>44</v>
      </c>
      <c r="B126" t="s">
        <v>45</v>
      </c>
      <c r="C126" s="1" t="str">
        <f>HYPERLINK("http://продеталь.рф/search.html?article=0009582","0009582")</f>
        <v>0009582</v>
      </c>
      <c r="D126" t="s">
        <v>46</v>
      </c>
    </row>
    <row r="127" spans="1:4" outlineLevel="1" x14ac:dyDescent="0.25">
      <c r="A127" t="s">
        <v>44</v>
      </c>
      <c r="B127" t="s">
        <v>24</v>
      </c>
      <c r="C127" s="1" t="str">
        <f>HYPERLINK("http://продеталь.рф/search.html?article=02090312","02090312")</f>
        <v>02090312</v>
      </c>
      <c r="D127" t="s">
        <v>47</v>
      </c>
    </row>
    <row r="128" spans="1:4" outlineLevel="1" x14ac:dyDescent="0.25">
      <c r="A128" t="s">
        <v>44</v>
      </c>
      <c r="B128" t="s">
        <v>24</v>
      </c>
      <c r="C128" s="1" t="str">
        <f>HYPERLINK("http://продеталь.рф/search.html?article=02090311","02090311")</f>
        <v>02090311</v>
      </c>
      <c r="D128" t="s">
        <v>47</v>
      </c>
    </row>
    <row r="129" spans="1:4" outlineLevel="1" x14ac:dyDescent="0.25">
      <c r="A129" t="s">
        <v>44</v>
      </c>
      <c r="B129" t="s">
        <v>31</v>
      </c>
      <c r="C129" s="1" t="str">
        <f>HYPERLINK("http://продеталь.рф/search.html?article=R813837206CR","R813837206CR")</f>
        <v>R813837206CR</v>
      </c>
      <c r="D129" t="s">
        <v>6</v>
      </c>
    </row>
    <row r="130" spans="1:4" x14ac:dyDescent="0.25">
      <c r="A130" t="s">
        <v>48</v>
      </c>
      <c r="B130" s="2" t="s">
        <v>48</v>
      </c>
      <c r="C130" s="2"/>
      <c r="D130" s="2"/>
    </row>
    <row r="131" spans="1:4" outlineLevel="1" x14ac:dyDescent="0.25">
      <c r="A131" t="s">
        <v>48</v>
      </c>
      <c r="B131" t="s">
        <v>11</v>
      </c>
      <c r="C131" s="1" t="str">
        <f>HYPERLINK("http://продеталь.рф/search.html?article=AD04002BA","AD04002BA")</f>
        <v>AD04002BA</v>
      </c>
      <c r="D131" t="s">
        <v>2</v>
      </c>
    </row>
    <row r="132" spans="1:4" outlineLevel="1" x14ac:dyDescent="0.25">
      <c r="A132" t="s">
        <v>48</v>
      </c>
      <c r="B132" t="s">
        <v>15</v>
      </c>
      <c r="C132" s="1" t="str">
        <f>HYPERLINK("http://продеталь.рф/search.html?article=3020002","3020002")</f>
        <v>3020002</v>
      </c>
      <c r="D132" t="s">
        <v>4</v>
      </c>
    </row>
    <row r="133" spans="1:4" outlineLevel="1" x14ac:dyDescent="0.25">
      <c r="A133" t="s">
        <v>48</v>
      </c>
      <c r="B133" t="s">
        <v>15</v>
      </c>
      <c r="C133" s="1" t="str">
        <f>HYPERLINK("http://продеталь.рф/search.html?article=3020001","3020001")</f>
        <v>3020001</v>
      </c>
      <c r="D133" t="s">
        <v>4</v>
      </c>
    </row>
    <row r="134" spans="1:4" outlineLevel="1" x14ac:dyDescent="0.25">
      <c r="A134" t="s">
        <v>48</v>
      </c>
      <c r="B134" t="s">
        <v>15</v>
      </c>
      <c r="C134" s="1" t="str">
        <f>HYPERLINK("http://продеталь.рф/search.html?article=3020004","3020004")</f>
        <v>3020004</v>
      </c>
      <c r="D134" t="s">
        <v>4</v>
      </c>
    </row>
    <row r="135" spans="1:4" outlineLevel="1" x14ac:dyDescent="0.25">
      <c r="A135" t="s">
        <v>48</v>
      </c>
      <c r="B135" t="s">
        <v>15</v>
      </c>
      <c r="C135" s="1" t="str">
        <f>HYPERLINK("http://продеталь.рф/search.html?article=3020003","3020003")</f>
        <v>3020003</v>
      </c>
      <c r="D135" t="s">
        <v>4</v>
      </c>
    </row>
    <row r="136" spans="1:4" outlineLevel="1" x14ac:dyDescent="0.25">
      <c r="A136" t="s">
        <v>48</v>
      </c>
      <c r="B136" t="s">
        <v>23</v>
      </c>
      <c r="C136" s="1" t="str">
        <f>HYPERLINK("http://продеталь.рф/search.html?article=ZAD1903KL","ZAD1903KL")</f>
        <v>ZAD1903KL</v>
      </c>
      <c r="D136" t="s">
        <v>6</v>
      </c>
    </row>
    <row r="137" spans="1:4" outlineLevel="1" x14ac:dyDescent="0.25">
      <c r="A137" t="s">
        <v>48</v>
      </c>
      <c r="B137" t="s">
        <v>23</v>
      </c>
      <c r="C137" s="1" t="str">
        <f>HYPERLINK("http://продеталь.рф/search.html?article=ZAD1903KR","ZAD1903KR")</f>
        <v>ZAD1903KR</v>
      </c>
      <c r="D137" t="s">
        <v>6</v>
      </c>
    </row>
    <row r="138" spans="1:4" outlineLevel="1" x14ac:dyDescent="0.25">
      <c r="A138" t="s">
        <v>48</v>
      </c>
      <c r="B138" t="s">
        <v>23</v>
      </c>
      <c r="C138" s="1" t="str">
        <f>HYPERLINK("http://продеталь.рф/search.html?article=ZAD1904L","ZAD1904L")</f>
        <v>ZAD1904L</v>
      </c>
      <c r="D138" t="s">
        <v>6</v>
      </c>
    </row>
    <row r="139" spans="1:4" outlineLevel="1" x14ac:dyDescent="0.25">
      <c r="A139" t="s">
        <v>48</v>
      </c>
      <c r="B139" t="s">
        <v>23</v>
      </c>
      <c r="C139" s="1" t="str">
        <f>HYPERLINK("http://продеталь.рф/search.html?article=ZAD1904R","ZAD1904R")</f>
        <v>ZAD1904R</v>
      </c>
      <c r="D139" t="s">
        <v>6</v>
      </c>
    </row>
    <row r="140" spans="1:4" outlineLevel="1" x14ac:dyDescent="0.25">
      <c r="A140" t="s">
        <v>48</v>
      </c>
      <c r="B140" t="s">
        <v>23</v>
      </c>
      <c r="C140" s="1" t="str">
        <f>HYPERLINK("http://продеталь.рф/search.html?article=ZAD1903KTL","ZAD1903KTL")</f>
        <v>ZAD1903KTL</v>
      </c>
      <c r="D140" t="s">
        <v>6</v>
      </c>
    </row>
    <row r="141" spans="1:4" outlineLevel="1" x14ac:dyDescent="0.25">
      <c r="A141" t="s">
        <v>48</v>
      </c>
      <c r="B141" t="s">
        <v>23</v>
      </c>
      <c r="C141" s="1" t="str">
        <f>HYPERLINK("http://продеталь.рф/search.html?article=ZAD1903KTR","ZAD1903KTR")</f>
        <v>ZAD1903KTR</v>
      </c>
      <c r="D141" t="s">
        <v>6</v>
      </c>
    </row>
    <row r="142" spans="1:4" outlineLevel="1" x14ac:dyDescent="0.25">
      <c r="A142" t="s">
        <v>48</v>
      </c>
      <c r="B142" t="s">
        <v>1</v>
      </c>
      <c r="C142" s="1" t="str">
        <f>HYPERLINK("http://продеталь.рф/search.html?article=AU220150","AU220150")</f>
        <v>AU220150</v>
      </c>
      <c r="D142" t="s">
        <v>9</v>
      </c>
    </row>
    <row r="143" spans="1:4" outlineLevel="1" x14ac:dyDescent="0.25">
      <c r="A143" t="s">
        <v>48</v>
      </c>
      <c r="B143" t="s">
        <v>24</v>
      </c>
      <c r="C143" s="1" t="str">
        <f>HYPERLINK("http://продеталь.рф/search.html?article=04804004","04804004")</f>
        <v>04804004</v>
      </c>
      <c r="D143" t="s">
        <v>49</v>
      </c>
    </row>
    <row r="144" spans="1:4" outlineLevel="1" x14ac:dyDescent="0.25">
      <c r="A144" t="s">
        <v>48</v>
      </c>
      <c r="B144" t="s">
        <v>50</v>
      </c>
      <c r="C144" s="1" t="str">
        <f>HYPERLINK("http://продеталь.рф/search.html?article=PAD07000GE","PAD07000GE")</f>
        <v>PAD07000GE</v>
      </c>
      <c r="D144" t="s">
        <v>6</v>
      </c>
    </row>
    <row r="145" spans="1:4" outlineLevel="1" x14ac:dyDescent="0.25">
      <c r="A145" t="s">
        <v>48</v>
      </c>
      <c r="B145" t="s">
        <v>51</v>
      </c>
      <c r="C145" s="1" t="str">
        <f>HYPERLINK("http://продеталь.рф/search.html?article=AD30001AW","AD30001AW")</f>
        <v>AD30001AW</v>
      </c>
      <c r="D145" t="s">
        <v>2</v>
      </c>
    </row>
    <row r="146" spans="1:4" outlineLevel="1" x14ac:dyDescent="0.25">
      <c r="A146" t="s">
        <v>48</v>
      </c>
      <c r="B146" t="s">
        <v>27</v>
      </c>
      <c r="C146" s="1" t="str">
        <f>HYPERLINK("http://продеталь.рф/search.html?article=AU22009U0","AU22009U0")</f>
        <v>AU22009U0</v>
      </c>
      <c r="D146" t="s">
        <v>9</v>
      </c>
    </row>
    <row r="147" spans="1:4" outlineLevel="1" x14ac:dyDescent="0.25">
      <c r="A147" t="s">
        <v>48</v>
      </c>
      <c r="B147" t="s">
        <v>3</v>
      </c>
      <c r="C147" s="1" t="str">
        <f>HYPERLINK("http://продеталь.рф/search.html?article=205084152","205084152")</f>
        <v>205084152</v>
      </c>
      <c r="D147" t="s">
        <v>4</v>
      </c>
    </row>
    <row r="148" spans="1:4" outlineLevel="1" x14ac:dyDescent="0.25">
      <c r="A148" t="s">
        <v>48</v>
      </c>
      <c r="B148" t="s">
        <v>3</v>
      </c>
      <c r="C148" s="1" t="str">
        <f>HYPERLINK("http://продеталь.рф/search.html?article=205083152","205083152")</f>
        <v>205083152</v>
      </c>
      <c r="D148" t="s">
        <v>4</v>
      </c>
    </row>
    <row r="149" spans="1:4" outlineLevel="1" x14ac:dyDescent="0.25">
      <c r="A149" t="s">
        <v>48</v>
      </c>
      <c r="B149" t="s">
        <v>3</v>
      </c>
      <c r="C149" s="1" t="str">
        <f>HYPERLINK("http://продеталь.рф/search.html?article=ZAD1107L","ZAD1107L")</f>
        <v>ZAD1107L</v>
      </c>
      <c r="D149" t="s">
        <v>6</v>
      </c>
    </row>
    <row r="150" spans="1:4" outlineLevel="1" x14ac:dyDescent="0.25">
      <c r="A150" t="s">
        <v>48</v>
      </c>
      <c r="B150" t="s">
        <v>3</v>
      </c>
      <c r="C150" s="1" t="str">
        <f>HYPERLINK("http://продеталь.рф/search.html?article=ZAD1102KCL","ZAD1102KCL")</f>
        <v>ZAD1102KCL</v>
      </c>
      <c r="D150" t="s">
        <v>6</v>
      </c>
    </row>
    <row r="151" spans="1:4" outlineLevel="1" x14ac:dyDescent="0.25">
      <c r="A151" t="s">
        <v>48</v>
      </c>
      <c r="B151" t="s">
        <v>3</v>
      </c>
      <c r="C151" s="1" t="str">
        <f>HYPERLINK("http://продеталь.рф/search.html?article=ZAD1102KCR","ZAD1102KCR")</f>
        <v>ZAD1102KCR</v>
      </c>
      <c r="D151" t="s">
        <v>6</v>
      </c>
    </row>
    <row r="152" spans="1:4" outlineLevel="1" x14ac:dyDescent="0.25">
      <c r="A152" t="s">
        <v>48</v>
      </c>
      <c r="B152" t="s">
        <v>5</v>
      </c>
      <c r="C152" s="1" t="str">
        <f>HYPERLINK("http://продеталь.рф/search.html?article=210101","210101")</f>
        <v>210101</v>
      </c>
      <c r="D152" t="s">
        <v>21</v>
      </c>
    </row>
    <row r="153" spans="1:4" outlineLevel="1" x14ac:dyDescent="0.25">
      <c r="A153" t="s">
        <v>48</v>
      </c>
      <c r="B153" t="s">
        <v>5</v>
      </c>
      <c r="C153" s="1" t="str">
        <f>HYPERLINK("http://продеталь.рф/search.html?article=210102","210102")</f>
        <v>210102</v>
      </c>
      <c r="D153" t="s">
        <v>21</v>
      </c>
    </row>
    <row r="154" spans="1:4" outlineLevel="1" x14ac:dyDescent="0.25">
      <c r="A154" t="s">
        <v>48</v>
      </c>
      <c r="B154" t="s">
        <v>52</v>
      </c>
      <c r="C154" s="1" t="str">
        <f>HYPERLINK("http://продеталь.рф/search.html?article=RG542","RG542")</f>
        <v>RG542</v>
      </c>
      <c r="D154" t="s">
        <v>53</v>
      </c>
    </row>
    <row r="155" spans="1:4" outlineLevel="1" x14ac:dyDescent="0.25">
      <c r="A155" t="s">
        <v>48</v>
      </c>
      <c r="B155" t="s">
        <v>54</v>
      </c>
      <c r="C155" s="1" t="str">
        <f>HYPERLINK("http://продеталь.рф/search.html?article=0016011","0016011")</f>
        <v>0016011</v>
      </c>
      <c r="D155" t="s">
        <v>46</v>
      </c>
    </row>
    <row r="156" spans="1:4" outlineLevel="1" x14ac:dyDescent="0.25">
      <c r="A156" t="s">
        <v>48</v>
      </c>
      <c r="B156" t="s">
        <v>54</v>
      </c>
      <c r="C156" s="1" t="str">
        <f>HYPERLINK("http://продеталь.рф/search.html?article=0016012","0016012")</f>
        <v>0016012</v>
      </c>
      <c r="D156" t="s">
        <v>46</v>
      </c>
    </row>
    <row r="157" spans="1:4" outlineLevel="1" x14ac:dyDescent="0.25">
      <c r="A157" t="s">
        <v>48</v>
      </c>
      <c r="B157" t="s">
        <v>28</v>
      </c>
      <c r="C157" s="1" t="str">
        <f>HYPERLINK("http://продеталь.рф/search.html?article=RA60436","RA60436")</f>
        <v>RA60436</v>
      </c>
      <c r="D157" t="s">
        <v>6</v>
      </c>
    </row>
    <row r="158" spans="1:4" outlineLevel="1" x14ac:dyDescent="0.25">
      <c r="A158" t="s">
        <v>48</v>
      </c>
      <c r="B158" t="s">
        <v>28</v>
      </c>
      <c r="C158" s="1" t="str">
        <f>HYPERLINK("http://продеталь.рф/search.html?article=RA60442","RA60442")</f>
        <v>RA60442</v>
      </c>
      <c r="D158" t="s">
        <v>6</v>
      </c>
    </row>
    <row r="159" spans="1:4" outlineLevel="1" x14ac:dyDescent="0.25">
      <c r="A159" t="s">
        <v>48</v>
      </c>
      <c r="B159" t="s">
        <v>29</v>
      </c>
      <c r="C159" s="1" t="str">
        <f>HYPERLINK("http://продеталь.рф/search.html?article=RP70221","RP70221")</f>
        <v>RP70221</v>
      </c>
      <c r="D159" t="s">
        <v>6</v>
      </c>
    </row>
    <row r="160" spans="1:4" outlineLevel="1" x14ac:dyDescent="0.25">
      <c r="A160" t="s">
        <v>48</v>
      </c>
      <c r="B160" t="s">
        <v>55</v>
      </c>
      <c r="C160" s="1" t="str">
        <f>HYPERLINK("http://продеталь.рф/search.html?article=PAD07001MK","PAD07001MK")</f>
        <v>PAD07001MK</v>
      </c>
      <c r="D160" t="s">
        <v>6</v>
      </c>
    </row>
    <row r="161" spans="1:4" outlineLevel="1" x14ac:dyDescent="0.25">
      <c r="A161" t="s">
        <v>48</v>
      </c>
      <c r="B161" t="s">
        <v>40</v>
      </c>
      <c r="C161" s="1" t="str">
        <f>HYPERLINK("http://продеталь.рф/search.html?article=PAD99002CA","PAD99002CA")</f>
        <v>PAD99002CA</v>
      </c>
      <c r="D161" t="s">
        <v>6</v>
      </c>
    </row>
    <row r="162" spans="1:4" outlineLevel="1" x14ac:dyDescent="0.25">
      <c r="A162" t="s">
        <v>48</v>
      </c>
      <c r="B162" t="s">
        <v>12</v>
      </c>
      <c r="C162" s="1" t="str">
        <f>HYPERLINK("http://продеталь.рф/search.html?article=AD07001GA","AD07001GA")</f>
        <v>AD07001GA</v>
      </c>
      <c r="D162" t="s">
        <v>2</v>
      </c>
    </row>
    <row r="163" spans="1:4" outlineLevel="1" x14ac:dyDescent="0.25">
      <c r="A163" t="s">
        <v>48</v>
      </c>
      <c r="B163" t="s">
        <v>32</v>
      </c>
      <c r="C163" s="1" t="str">
        <f>HYPERLINK("http://продеталь.рф/search.html?article=SADM1003ADL","SADM1003ADL")</f>
        <v>SADM1003ADL</v>
      </c>
      <c r="D163" t="s">
        <v>6</v>
      </c>
    </row>
    <row r="164" spans="1:4" outlineLevel="1" x14ac:dyDescent="0.25">
      <c r="A164" t="s">
        <v>48</v>
      </c>
      <c r="B164" t="s">
        <v>32</v>
      </c>
      <c r="C164" s="1" t="str">
        <f>HYPERLINK("http://продеталь.рф/search.html?article=SADM1003BTR","SADM1003BTR")</f>
        <v>SADM1003BTR</v>
      </c>
      <c r="D164" t="s">
        <v>6</v>
      </c>
    </row>
    <row r="165" spans="1:4" outlineLevel="1" x14ac:dyDescent="0.25">
      <c r="A165" t="s">
        <v>48</v>
      </c>
      <c r="B165" t="s">
        <v>32</v>
      </c>
      <c r="C165" s="1" t="str">
        <f>HYPERLINK("http://продеталь.рф/search.html?article=SADM1003AR","SADM1003AR")</f>
        <v>SADM1003AR</v>
      </c>
      <c r="D165" t="s">
        <v>6</v>
      </c>
    </row>
    <row r="166" spans="1:4" outlineLevel="1" x14ac:dyDescent="0.25">
      <c r="A166" t="s">
        <v>48</v>
      </c>
      <c r="B166" t="s">
        <v>41</v>
      </c>
      <c r="C166" s="1" t="str">
        <f>HYPERLINK("http://продеталь.рф/search.html?article=SAD1107R","SAD1107R")</f>
        <v>SAD1107R</v>
      </c>
      <c r="D166" t="s">
        <v>4</v>
      </c>
    </row>
    <row r="167" spans="1:4" outlineLevel="1" x14ac:dyDescent="0.25">
      <c r="A167" t="s">
        <v>48</v>
      </c>
      <c r="B167" t="s">
        <v>41</v>
      </c>
      <c r="C167" s="1" t="str">
        <f>HYPERLINK("http://продеталь.рф/search.html?article=SAD1107L","SAD1107L")</f>
        <v>SAD1107L</v>
      </c>
      <c r="D167" t="s">
        <v>4</v>
      </c>
    </row>
    <row r="168" spans="1:4" outlineLevel="1" x14ac:dyDescent="0.25">
      <c r="A168" t="s">
        <v>48</v>
      </c>
      <c r="B168" t="s">
        <v>16</v>
      </c>
      <c r="C168" s="1" t="str">
        <f>HYPERLINK("http://продеталь.рф/search.html?article=714019870701","714019870701")</f>
        <v>714019870701</v>
      </c>
      <c r="D168" t="s">
        <v>56</v>
      </c>
    </row>
    <row r="169" spans="1:4" outlineLevel="1" x14ac:dyDescent="0.25">
      <c r="A169" t="s">
        <v>48</v>
      </c>
      <c r="B169" t="s">
        <v>16</v>
      </c>
      <c r="C169" s="1" t="str">
        <f>HYPERLINK("http://продеталь.рф/search.html?article=185144052","185144052")</f>
        <v>185144052</v>
      </c>
      <c r="D169" t="s">
        <v>4</v>
      </c>
    </row>
    <row r="170" spans="1:4" outlineLevel="1" x14ac:dyDescent="0.25">
      <c r="A170" t="s">
        <v>48</v>
      </c>
      <c r="B170" t="s">
        <v>16</v>
      </c>
      <c r="C170" s="1" t="str">
        <f>HYPERLINK("http://продеталь.рф/search.html?article=AI08087030TTL","AI08087030TTL")</f>
        <v>AI08087030TTL</v>
      </c>
      <c r="D170" t="s">
        <v>34</v>
      </c>
    </row>
    <row r="171" spans="1:4" outlineLevel="1" x14ac:dyDescent="0.25">
      <c r="A171" t="s">
        <v>48</v>
      </c>
      <c r="B171" t="s">
        <v>16</v>
      </c>
      <c r="C171" s="1" t="str">
        <f>HYPERLINK("http://продеталь.рф/search.html?article=185144052","185144052")</f>
        <v>185144052</v>
      </c>
      <c r="D171" t="s">
        <v>4</v>
      </c>
    </row>
    <row r="172" spans="1:4" outlineLevel="1" x14ac:dyDescent="0.25">
      <c r="A172" t="s">
        <v>48</v>
      </c>
      <c r="B172" t="s">
        <v>16</v>
      </c>
      <c r="C172" s="1" t="str">
        <f>HYPERLINK("http://продеталь.рф/search.html?article=185144152","185144152")</f>
        <v>185144152</v>
      </c>
      <c r="D172" t="s">
        <v>4</v>
      </c>
    </row>
    <row r="173" spans="1:4" x14ac:dyDescent="0.25">
      <c r="A173" t="s">
        <v>57</v>
      </c>
      <c r="B173" s="2" t="s">
        <v>57</v>
      </c>
      <c r="C173" s="2"/>
      <c r="D173" s="2"/>
    </row>
    <row r="174" spans="1:4" outlineLevel="1" x14ac:dyDescent="0.25">
      <c r="A174" t="s">
        <v>57</v>
      </c>
      <c r="B174" t="s">
        <v>11</v>
      </c>
      <c r="C174" s="1" t="str">
        <f>HYPERLINK("http://продеталь.рф/search.html?article=AD04008BA","AD04008BA")</f>
        <v>AD04008BA</v>
      </c>
      <c r="D174" t="s">
        <v>2</v>
      </c>
    </row>
    <row r="175" spans="1:4" outlineLevel="1" x14ac:dyDescent="0.25">
      <c r="A175" t="s">
        <v>57</v>
      </c>
      <c r="B175" t="s">
        <v>11</v>
      </c>
      <c r="C175" s="1" t="str">
        <f>HYPERLINK("http://продеталь.рф/search.html?article=AD04004BA","AD04004BA")</f>
        <v>AD04004BA</v>
      </c>
      <c r="D175" t="s">
        <v>2</v>
      </c>
    </row>
    <row r="176" spans="1:4" outlineLevel="1" x14ac:dyDescent="0.25">
      <c r="A176" t="s">
        <v>57</v>
      </c>
      <c r="B176" t="s">
        <v>11</v>
      </c>
      <c r="C176" s="1" t="str">
        <f>HYPERLINK("http://продеталь.рф/search.html?article=1709111","1709111")</f>
        <v>1709111</v>
      </c>
      <c r="D176" t="s">
        <v>58</v>
      </c>
    </row>
    <row r="177" spans="1:4" outlineLevel="1" x14ac:dyDescent="0.25">
      <c r="A177" t="s">
        <v>57</v>
      </c>
      <c r="B177" t="s">
        <v>59</v>
      </c>
      <c r="C177" s="1" t="str">
        <f>HYPERLINK("http://продеталь.рф/search.html?article=AD99010GA","AD99010GA")</f>
        <v>AD99010GA</v>
      </c>
      <c r="D177" t="s">
        <v>2</v>
      </c>
    </row>
    <row r="178" spans="1:4" outlineLevel="1" x14ac:dyDescent="0.25">
      <c r="A178" t="s">
        <v>57</v>
      </c>
      <c r="B178" t="s">
        <v>35</v>
      </c>
      <c r="C178" s="1" t="str">
        <f>HYPERLINK("http://продеталь.рф/search.html?article=310105","310105")</f>
        <v>310105</v>
      </c>
      <c r="D178" t="s">
        <v>21</v>
      </c>
    </row>
    <row r="179" spans="1:4" outlineLevel="1" x14ac:dyDescent="0.25">
      <c r="A179" t="s">
        <v>57</v>
      </c>
      <c r="B179" t="s">
        <v>24</v>
      </c>
      <c r="C179" s="1" t="str">
        <f>HYPERLINK("http://продеталь.рф/search.html?article=AU23016A1","AU23016A1")</f>
        <v>AU23016A1</v>
      </c>
      <c r="D179" t="s">
        <v>9</v>
      </c>
    </row>
    <row r="180" spans="1:4" outlineLevel="1" x14ac:dyDescent="0.25">
      <c r="A180" t="s">
        <v>57</v>
      </c>
      <c r="B180" t="s">
        <v>50</v>
      </c>
      <c r="C180" s="1" t="str">
        <f>HYPERLINK("http://продеталь.рф/search.html?article=AU230932","AU230932")</f>
        <v>AU230932</v>
      </c>
      <c r="D180" t="s">
        <v>9</v>
      </c>
    </row>
    <row r="181" spans="1:4" outlineLevel="1" x14ac:dyDescent="0.25">
      <c r="A181" t="s">
        <v>57</v>
      </c>
      <c r="B181" t="s">
        <v>50</v>
      </c>
      <c r="C181" s="1" t="str">
        <f>HYPERLINK("http://продеталь.рф/search.html?article=AU230931","AU230931")</f>
        <v>AU230931</v>
      </c>
      <c r="D181" t="s">
        <v>9</v>
      </c>
    </row>
    <row r="182" spans="1:4" outlineLevel="1" x14ac:dyDescent="0.25">
      <c r="A182" t="s">
        <v>57</v>
      </c>
      <c r="B182" t="s">
        <v>60</v>
      </c>
      <c r="C182" s="1" t="str">
        <f>HYPERLINK("http://продеталь.рф/search.html?article=AD99005MAL","AD99005MAL")</f>
        <v>AD99005MAL</v>
      </c>
      <c r="D182" t="s">
        <v>2</v>
      </c>
    </row>
    <row r="183" spans="1:4" outlineLevel="1" x14ac:dyDescent="0.25">
      <c r="A183" t="s">
        <v>57</v>
      </c>
      <c r="B183" t="s">
        <v>60</v>
      </c>
      <c r="C183" s="1" t="str">
        <f>HYPERLINK("http://продеталь.рф/search.html?article=AD99005MAR","AD99005MAR")</f>
        <v>AD99005MAR</v>
      </c>
      <c r="D183" t="s">
        <v>2</v>
      </c>
    </row>
    <row r="184" spans="1:4" outlineLevel="1" x14ac:dyDescent="0.25">
      <c r="A184" t="s">
        <v>57</v>
      </c>
      <c r="B184" t="s">
        <v>26</v>
      </c>
      <c r="C184" s="1" t="str">
        <f>HYPERLINK("http://продеталь.рф/search.html?article=AD99001MAL","AD99001MAL")</f>
        <v>AD99001MAL</v>
      </c>
      <c r="D184" t="s">
        <v>2</v>
      </c>
    </row>
    <row r="185" spans="1:4" outlineLevel="1" x14ac:dyDescent="0.25">
      <c r="A185" t="s">
        <v>57</v>
      </c>
      <c r="B185" t="s">
        <v>26</v>
      </c>
      <c r="C185" s="1" t="str">
        <f>HYPERLINK("http://продеталь.рф/search.html?article=AD99001MAR","AD99001MAR")</f>
        <v>AD99001MAR</v>
      </c>
      <c r="D185" t="s">
        <v>2</v>
      </c>
    </row>
    <row r="186" spans="1:4" outlineLevel="1" x14ac:dyDescent="0.25">
      <c r="A186" t="s">
        <v>57</v>
      </c>
      <c r="B186" t="s">
        <v>26</v>
      </c>
      <c r="C186" s="1" t="str">
        <f>HYPERLINK("http://продеталь.рф/search.html?article=AD99003MAL","AD99003MAL")</f>
        <v>AD99003MAL</v>
      </c>
      <c r="D186" t="s">
        <v>2</v>
      </c>
    </row>
    <row r="187" spans="1:4" outlineLevel="1" x14ac:dyDescent="0.25">
      <c r="A187" t="s">
        <v>57</v>
      </c>
      <c r="B187" t="s">
        <v>27</v>
      </c>
      <c r="C187" s="1" t="str">
        <f>HYPERLINK("http://продеталь.рф/search.html?article=AU23009U0","AU23009U0")</f>
        <v>AU23009U0</v>
      </c>
      <c r="D187" t="s">
        <v>9</v>
      </c>
    </row>
    <row r="188" spans="1:4" outlineLevel="1" x14ac:dyDescent="0.25">
      <c r="A188" t="s">
        <v>57</v>
      </c>
      <c r="B188" t="s">
        <v>27</v>
      </c>
      <c r="C188" s="1" t="str">
        <f>HYPERLINK("http://продеталь.рф/search.html?article=AD30004AR","AD30004AR")</f>
        <v>AD30004AR</v>
      </c>
      <c r="D188" t="s">
        <v>2</v>
      </c>
    </row>
    <row r="189" spans="1:4" outlineLevel="1" x14ac:dyDescent="0.25">
      <c r="A189" t="s">
        <v>57</v>
      </c>
      <c r="B189" t="s">
        <v>3</v>
      </c>
      <c r="C189" s="1" t="str">
        <f>HYPERLINK("http://продеталь.рф/search.html?article=205478082","205478082")</f>
        <v>205478082</v>
      </c>
      <c r="D189" t="s">
        <v>4</v>
      </c>
    </row>
    <row r="190" spans="1:4" outlineLevel="1" x14ac:dyDescent="0.25">
      <c r="A190" t="s">
        <v>57</v>
      </c>
      <c r="B190" t="s">
        <v>3</v>
      </c>
      <c r="C190" s="1" t="str">
        <f>HYPERLINK("http://продеталь.рф/search.html?article=205477082","205477082")</f>
        <v>205477082</v>
      </c>
      <c r="D190" t="s">
        <v>4</v>
      </c>
    </row>
    <row r="191" spans="1:4" outlineLevel="1" x14ac:dyDescent="0.25">
      <c r="A191" t="s">
        <v>57</v>
      </c>
      <c r="B191" t="s">
        <v>5</v>
      </c>
      <c r="C191" s="1" t="str">
        <f>HYPERLINK("http://продеталь.рф/search.html?article=210115","210115")</f>
        <v>210115</v>
      </c>
      <c r="D191" t="s">
        <v>21</v>
      </c>
    </row>
    <row r="192" spans="1:4" outlineLevel="1" x14ac:dyDescent="0.25">
      <c r="A192" t="s">
        <v>57</v>
      </c>
      <c r="B192" t="s">
        <v>5</v>
      </c>
      <c r="C192" s="1" t="str">
        <f>HYPERLINK("http://продеталь.рф/search.html?article=210116","210116")</f>
        <v>210116</v>
      </c>
      <c r="D192" t="s">
        <v>21</v>
      </c>
    </row>
    <row r="193" spans="1:4" outlineLevel="1" x14ac:dyDescent="0.25">
      <c r="A193" t="s">
        <v>57</v>
      </c>
      <c r="B193" t="s">
        <v>19</v>
      </c>
      <c r="C193" s="1" t="str">
        <f>HYPERLINK("http://продеталь.рф/search.html?article=ZAD2003R","ZAD2003R")</f>
        <v>ZAD2003R</v>
      </c>
      <c r="D193" t="s">
        <v>6</v>
      </c>
    </row>
    <row r="194" spans="1:4" outlineLevel="1" x14ac:dyDescent="0.25">
      <c r="A194" t="s">
        <v>57</v>
      </c>
      <c r="B194" t="s">
        <v>28</v>
      </c>
      <c r="C194" s="1" t="str">
        <f>HYPERLINK("http://продеталь.рф/search.html?article=RA60465A","RA60465A")</f>
        <v>RA60465A</v>
      </c>
      <c r="D194" t="s">
        <v>6</v>
      </c>
    </row>
    <row r="195" spans="1:4" outlineLevel="1" x14ac:dyDescent="0.25">
      <c r="A195" t="s">
        <v>57</v>
      </c>
      <c r="B195" t="s">
        <v>40</v>
      </c>
      <c r="C195" s="1" t="str">
        <f>HYPERLINK("http://продеталь.рф/search.html?article=PAD99000CA","PAD99000CA")</f>
        <v>PAD99000CA</v>
      </c>
      <c r="D195" t="s">
        <v>6</v>
      </c>
    </row>
    <row r="196" spans="1:4" outlineLevel="1" x14ac:dyDescent="0.25">
      <c r="A196" t="s">
        <v>57</v>
      </c>
      <c r="B196" t="s">
        <v>40</v>
      </c>
      <c r="C196" s="1" t="str">
        <f>HYPERLINK("http://продеталь.рф/search.html?article=250410","250410")</f>
        <v>250410</v>
      </c>
      <c r="D196" t="s">
        <v>61</v>
      </c>
    </row>
    <row r="197" spans="1:4" outlineLevel="1" x14ac:dyDescent="0.25">
      <c r="A197" t="s">
        <v>57</v>
      </c>
      <c r="B197" t="s">
        <v>40</v>
      </c>
      <c r="C197" s="1" t="str">
        <f>HYPERLINK("http://продеталь.рф/search.html?article=250409","250409")</f>
        <v>250409</v>
      </c>
      <c r="D197" t="s">
        <v>61</v>
      </c>
    </row>
    <row r="198" spans="1:4" outlineLevel="1" x14ac:dyDescent="0.25">
      <c r="A198" t="s">
        <v>57</v>
      </c>
      <c r="B198" t="s">
        <v>32</v>
      </c>
      <c r="C198" s="1" t="str">
        <f>HYPERLINK("http://продеталь.рф/search.html?article=SADM1012BTR","SADM1012BTR")</f>
        <v>SADM1012BTR</v>
      </c>
      <c r="D198" t="s">
        <v>6</v>
      </c>
    </row>
    <row r="199" spans="1:4" outlineLevel="1" x14ac:dyDescent="0.25">
      <c r="A199" t="s">
        <v>57</v>
      </c>
      <c r="B199" t="s">
        <v>32</v>
      </c>
      <c r="C199" s="1" t="str">
        <f>HYPERLINK("http://продеталь.рф/search.html?article=SADM1012ATL","SADM1012ATL")</f>
        <v>SADM1012ATL</v>
      </c>
      <c r="D199" t="s">
        <v>6</v>
      </c>
    </row>
    <row r="200" spans="1:4" outlineLevel="1" x14ac:dyDescent="0.25">
      <c r="A200" t="s">
        <v>57</v>
      </c>
      <c r="B200" t="s">
        <v>41</v>
      </c>
      <c r="C200" s="1" t="str">
        <f>HYPERLINK("http://продеталь.рф/search.html?article=SAD1131L","SAD1131L")</f>
        <v>SAD1131L</v>
      </c>
      <c r="D200" t="s">
        <v>4</v>
      </c>
    </row>
    <row r="201" spans="1:4" outlineLevel="1" x14ac:dyDescent="0.25">
      <c r="A201" t="s">
        <v>57</v>
      </c>
      <c r="B201" t="s">
        <v>41</v>
      </c>
      <c r="C201" s="1" t="str">
        <f>HYPERLINK("http://продеталь.рф/search.html?article=SAD1131R","SAD1131R")</f>
        <v>SAD1131R</v>
      </c>
      <c r="D201" t="s">
        <v>4</v>
      </c>
    </row>
    <row r="202" spans="1:4" outlineLevel="1" x14ac:dyDescent="0.25">
      <c r="A202" t="s">
        <v>57</v>
      </c>
      <c r="B202" t="s">
        <v>62</v>
      </c>
      <c r="C202" s="1" t="str">
        <f>HYPERLINK("http://продеталь.рф/search.html?article=SAD2027L","SAD2027L")</f>
        <v>SAD2027L</v>
      </c>
      <c r="D202" t="s">
        <v>63</v>
      </c>
    </row>
    <row r="203" spans="1:4" outlineLevel="1" x14ac:dyDescent="0.25">
      <c r="A203" t="s">
        <v>57</v>
      </c>
      <c r="B203" t="s">
        <v>16</v>
      </c>
      <c r="C203" s="1" t="str">
        <f>HYPERLINK("http://продеталь.рф/search.html?article=185143052","185143052")</f>
        <v>185143052</v>
      </c>
      <c r="D203" t="s">
        <v>4</v>
      </c>
    </row>
    <row r="204" spans="1:4" outlineLevel="1" x14ac:dyDescent="0.25">
      <c r="A204" t="s">
        <v>57</v>
      </c>
      <c r="B204" t="s">
        <v>16</v>
      </c>
      <c r="C204" s="1" t="str">
        <f>HYPERLINK("http://продеталь.рф/search.html?article=185144152","185144152")</f>
        <v>185144152</v>
      </c>
      <c r="D204" t="s">
        <v>4</v>
      </c>
    </row>
    <row r="205" spans="1:4" outlineLevel="1" x14ac:dyDescent="0.25">
      <c r="A205" t="s">
        <v>57</v>
      </c>
      <c r="B205" t="s">
        <v>16</v>
      </c>
      <c r="C205" s="1" t="str">
        <f>HYPERLINK("http://продеталь.рф/search.html?article=185143152","185143152")</f>
        <v>185143152</v>
      </c>
      <c r="D205" t="s">
        <v>4</v>
      </c>
    </row>
    <row r="206" spans="1:4" outlineLevel="1" x14ac:dyDescent="0.25">
      <c r="A206" t="s">
        <v>57</v>
      </c>
      <c r="B206" t="s">
        <v>64</v>
      </c>
      <c r="C206" s="1" t="str">
        <f>HYPERLINK("http://продеталь.рф/search.html?article=714019850801","714019850801")</f>
        <v>714019850801</v>
      </c>
      <c r="D206" t="s">
        <v>56</v>
      </c>
    </row>
    <row r="207" spans="1:4" outlineLevel="1" x14ac:dyDescent="0.25">
      <c r="A207" t="s">
        <v>57</v>
      </c>
      <c r="B207" t="s">
        <v>64</v>
      </c>
      <c r="C207" s="1" t="str">
        <f>HYPERLINK("http://продеталь.рф/search.html?article=714019820701","714019820701")</f>
        <v>714019820701</v>
      </c>
      <c r="D207" t="s">
        <v>56</v>
      </c>
    </row>
    <row r="208" spans="1:4" outlineLevel="1" x14ac:dyDescent="0.25">
      <c r="A208" t="s">
        <v>57</v>
      </c>
      <c r="B208" t="s">
        <v>64</v>
      </c>
      <c r="C208" s="1" t="str">
        <f>HYPERLINK("http://продеталь.рф/search.html?article=714019820801","714019820801")</f>
        <v>714019820801</v>
      </c>
      <c r="D208" t="s">
        <v>56</v>
      </c>
    </row>
    <row r="209" spans="1:4" x14ac:dyDescent="0.25">
      <c r="A209" t="s">
        <v>65</v>
      </c>
      <c r="B209" s="2" t="s">
        <v>65</v>
      </c>
      <c r="C209" s="2"/>
      <c r="D209" s="2"/>
    </row>
    <row r="210" spans="1:4" outlineLevel="1" x14ac:dyDescent="0.25">
      <c r="A210" t="s">
        <v>65</v>
      </c>
      <c r="B210" t="s">
        <v>66</v>
      </c>
      <c r="C210" s="1" t="str">
        <f>HYPERLINK("http://продеталь.рф/search.html?article=BK059","BK059")</f>
        <v>BK059</v>
      </c>
      <c r="D210" t="s">
        <v>6</v>
      </c>
    </row>
    <row r="211" spans="1:4" outlineLevel="1" x14ac:dyDescent="0.25">
      <c r="A211" t="s">
        <v>65</v>
      </c>
      <c r="B211" t="s">
        <v>5</v>
      </c>
      <c r="C211" s="1" t="str">
        <f>HYPERLINK("http://продеталь.рф/search.html?article=AD11019AR","AD11019AR")</f>
        <v>AD11019AR</v>
      </c>
      <c r="D211" t="s">
        <v>2</v>
      </c>
    </row>
    <row r="212" spans="1:4" x14ac:dyDescent="0.25">
      <c r="A212" t="s">
        <v>67</v>
      </c>
      <c r="B212" s="2" t="s">
        <v>67</v>
      </c>
      <c r="C212" s="2"/>
      <c r="D212" s="2"/>
    </row>
    <row r="213" spans="1:4" outlineLevel="1" x14ac:dyDescent="0.25">
      <c r="A213" t="s">
        <v>67</v>
      </c>
      <c r="B213" t="s">
        <v>11</v>
      </c>
      <c r="C213" s="1" t="str">
        <f>HYPERLINK("http://продеталь.рф/search.html?article=AD04010BB","AD04010BB")</f>
        <v>AD04010BB</v>
      </c>
      <c r="D213" t="s">
        <v>2</v>
      </c>
    </row>
    <row r="214" spans="1:4" outlineLevel="1" x14ac:dyDescent="0.25">
      <c r="A214" t="s">
        <v>67</v>
      </c>
      <c r="B214" t="s">
        <v>11</v>
      </c>
      <c r="C214" s="1" t="str">
        <f>HYPERLINK("http://продеталь.рф/search.html?article=AD04017BA","AD04017BA")</f>
        <v>AD04017BA</v>
      </c>
      <c r="D214" t="s">
        <v>2</v>
      </c>
    </row>
    <row r="215" spans="1:4" outlineLevel="1" x14ac:dyDescent="0.25">
      <c r="A215" t="s">
        <v>67</v>
      </c>
      <c r="B215" t="s">
        <v>68</v>
      </c>
      <c r="C215" s="1" t="str">
        <f>HYPERLINK("http://продеталь.рф/search.html?article=AD026BERW2","AD026BERW2")</f>
        <v>AD026BERW2</v>
      </c>
      <c r="D215" t="s">
        <v>69</v>
      </c>
    </row>
    <row r="216" spans="1:4" outlineLevel="1" x14ac:dyDescent="0.25">
      <c r="A216" t="s">
        <v>67</v>
      </c>
      <c r="B216" t="s">
        <v>24</v>
      </c>
      <c r="C216" s="1" t="str">
        <f>HYPERLINK("http://продеталь.рф/search.html?article=048070090","048070090")</f>
        <v>048070090</v>
      </c>
      <c r="D216" t="s">
        <v>49</v>
      </c>
    </row>
    <row r="217" spans="1:4" outlineLevel="1" x14ac:dyDescent="0.25">
      <c r="A217" t="s">
        <v>67</v>
      </c>
      <c r="B217" t="s">
        <v>24</v>
      </c>
      <c r="C217" s="1" t="str">
        <f>HYPERLINK("http://продеталь.рф/search.html?article=048070080","048070080")</f>
        <v>048070080</v>
      </c>
      <c r="D217" t="s">
        <v>49</v>
      </c>
    </row>
    <row r="218" spans="1:4" outlineLevel="1" x14ac:dyDescent="0.25">
      <c r="A218" t="s">
        <v>67</v>
      </c>
      <c r="B218" t="s">
        <v>27</v>
      </c>
      <c r="C218" s="1" t="str">
        <f>HYPERLINK("http://продеталь.рф/search.html?article=AD03005B","AD03005B")</f>
        <v>AD03005B</v>
      </c>
      <c r="D218" t="s">
        <v>2</v>
      </c>
    </row>
    <row r="219" spans="1:4" outlineLevel="1" x14ac:dyDescent="0.25">
      <c r="A219" t="s">
        <v>67</v>
      </c>
      <c r="B219" t="s">
        <v>70</v>
      </c>
      <c r="C219" s="1" t="str">
        <f>HYPERLINK("http://продеталь.рф/search.html?article=1EF963030281","1EF963030281")</f>
        <v>1EF963030281</v>
      </c>
      <c r="D219" t="s">
        <v>43</v>
      </c>
    </row>
    <row r="220" spans="1:4" outlineLevel="1" x14ac:dyDescent="0.25">
      <c r="A220" t="s">
        <v>67</v>
      </c>
      <c r="B220" t="s">
        <v>5</v>
      </c>
      <c r="C220" s="1" t="str">
        <f>HYPERLINK("http://продеталь.рф/search.html?article=210127","210127")</f>
        <v>210127</v>
      </c>
      <c r="D220" t="s">
        <v>21</v>
      </c>
    </row>
    <row r="221" spans="1:4" outlineLevel="1" x14ac:dyDescent="0.25">
      <c r="A221" t="s">
        <v>67</v>
      </c>
      <c r="B221" t="s">
        <v>5</v>
      </c>
      <c r="C221" s="1" t="str">
        <f>HYPERLINK("http://продеталь.рф/search.html?article=210128","210128")</f>
        <v>210128</v>
      </c>
      <c r="D221" t="s">
        <v>21</v>
      </c>
    </row>
    <row r="222" spans="1:4" outlineLevel="1" x14ac:dyDescent="0.25">
      <c r="A222" t="s">
        <v>67</v>
      </c>
      <c r="B222" t="s">
        <v>19</v>
      </c>
      <c r="C222" s="1" t="str">
        <f>HYPERLINK("http://продеталь.рф/search.html?article=190270052","190270052")</f>
        <v>190270052</v>
      </c>
      <c r="D222" t="s">
        <v>4</v>
      </c>
    </row>
    <row r="223" spans="1:4" outlineLevel="1" x14ac:dyDescent="0.25">
      <c r="A223" t="s">
        <v>67</v>
      </c>
      <c r="B223" t="s">
        <v>12</v>
      </c>
      <c r="C223" s="1" t="str">
        <f>HYPERLINK("http://продеталь.рф/search.html?article=AU060930","AU060930")</f>
        <v>AU060930</v>
      </c>
      <c r="D223" t="s">
        <v>9</v>
      </c>
    </row>
    <row r="224" spans="1:4" outlineLevel="1" x14ac:dyDescent="0.25">
      <c r="A224" t="s">
        <v>67</v>
      </c>
      <c r="B224" t="s">
        <v>71</v>
      </c>
      <c r="C224" s="1" t="str">
        <f>HYPERLINK("http://продеталь.рф/search.html?article=AU060130","AU060130")</f>
        <v>AU060130</v>
      </c>
      <c r="D224" t="s">
        <v>9</v>
      </c>
    </row>
    <row r="225" spans="1:4" outlineLevel="1" x14ac:dyDescent="0.25">
      <c r="A225" t="s">
        <v>67</v>
      </c>
      <c r="B225" t="s">
        <v>32</v>
      </c>
      <c r="C225" s="1" t="str">
        <f>HYPERLINK("http://продеталь.рф/search.html?article=SADM1004ATL","SADM1004ATL")</f>
        <v>SADM1004ATL</v>
      </c>
      <c r="D225" t="s">
        <v>6</v>
      </c>
    </row>
    <row r="226" spans="1:4" outlineLevel="1" x14ac:dyDescent="0.25">
      <c r="A226" t="s">
        <v>67</v>
      </c>
      <c r="B226" t="s">
        <v>16</v>
      </c>
      <c r="C226" s="1" t="str">
        <f>HYPERLINK("http://продеталь.рф/search.html?article=185316052","185316052")</f>
        <v>185316052</v>
      </c>
      <c r="D226" t="s">
        <v>4</v>
      </c>
    </row>
    <row r="227" spans="1:4" outlineLevel="1" x14ac:dyDescent="0.25">
      <c r="A227" t="s">
        <v>67</v>
      </c>
      <c r="B227" t="s">
        <v>16</v>
      </c>
      <c r="C227" s="1" t="str">
        <f>HYPERLINK("http://продеталь.рф/search.html?article=185315052","185315052")</f>
        <v>185315052</v>
      </c>
      <c r="D227" t="s">
        <v>4</v>
      </c>
    </row>
    <row r="228" spans="1:4" x14ac:dyDescent="0.25">
      <c r="A228" t="s">
        <v>72</v>
      </c>
      <c r="B228" s="2" t="s">
        <v>72</v>
      </c>
      <c r="C228" s="2"/>
      <c r="D228" s="2"/>
    </row>
    <row r="229" spans="1:4" outlineLevel="1" x14ac:dyDescent="0.25">
      <c r="A229" t="s">
        <v>72</v>
      </c>
      <c r="B229" t="s">
        <v>11</v>
      </c>
      <c r="C229" s="1" t="str">
        <f>HYPERLINK("http://продеталь.рф/search.html?article=PAD04015BA","PAD04015BA")</f>
        <v>PAD04015BA</v>
      </c>
      <c r="D229" t="s">
        <v>6</v>
      </c>
    </row>
    <row r="230" spans="1:4" outlineLevel="1" x14ac:dyDescent="0.25">
      <c r="A230" t="s">
        <v>72</v>
      </c>
      <c r="B230" t="s">
        <v>73</v>
      </c>
      <c r="C230" s="1" t="str">
        <f>HYPERLINK("http://продеталь.рф/search.html?article=3020027","3020027")</f>
        <v>3020027</v>
      </c>
      <c r="D230" t="s">
        <v>4</v>
      </c>
    </row>
    <row r="231" spans="1:4" outlineLevel="1" x14ac:dyDescent="0.25">
      <c r="A231" t="s">
        <v>72</v>
      </c>
      <c r="B231" t="s">
        <v>74</v>
      </c>
      <c r="C231" s="1" t="str">
        <f>HYPERLINK("http://продеталь.рф/search.html?article=RDVW00005S","RDVW00005S")</f>
        <v>RDVW00005S</v>
      </c>
      <c r="D231" t="s">
        <v>6</v>
      </c>
    </row>
    <row r="232" spans="1:4" outlineLevel="1" x14ac:dyDescent="0.25">
      <c r="A232" t="s">
        <v>72</v>
      </c>
      <c r="B232" t="s">
        <v>1</v>
      </c>
      <c r="C232" s="1" t="str">
        <f>HYPERLINK("http://продеталь.рф/search.html?article=AD20011A","AD20011A")</f>
        <v>AD20011A</v>
      </c>
      <c r="D232" t="s">
        <v>2</v>
      </c>
    </row>
    <row r="233" spans="1:4" outlineLevel="1" x14ac:dyDescent="0.25">
      <c r="A233" t="s">
        <v>72</v>
      </c>
      <c r="B233" t="s">
        <v>1</v>
      </c>
      <c r="C233" s="1" t="str">
        <f>HYPERLINK("http://продеталь.рф/search.html?article=AU07001501000","AU07001501000")</f>
        <v>AU07001501000</v>
      </c>
      <c r="D233" t="s">
        <v>9</v>
      </c>
    </row>
    <row r="234" spans="1:4" outlineLevel="1" x14ac:dyDescent="0.25">
      <c r="A234" t="s">
        <v>72</v>
      </c>
      <c r="B234" t="s">
        <v>24</v>
      </c>
      <c r="C234" s="1" t="str">
        <f>HYPERLINK("http://продеталь.рф/search.html?article=AU070162","AU070162")</f>
        <v>AU070162</v>
      </c>
      <c r="D234" t="s">
        <v>9</v>
      </c>
    </row>
    <row r="235" spans="1:4" outlineLevel="1" x14ac:dyDescent="0.25">
      <c r="A235" t="s">
        <v>72</v>
      </c>
      <c r="B235" t="s">
        <v>27</v>
      </c>
      <c r="C235" s="1" t="str">
        <f>HYPERLINK("http://продеталь.рф/search.html?article=AU070090","AU070090")</f>
        <v>AU070090</v>
      </c>
      <c r="D235" t="s">
        <v>9</v>
      </c>
    </row>
    <row r="236" spans="1:4" outlineLevel="1" x14ac:dyDescent="0.25">
      <c r="A236" t="s">
        <v>72</v>
      </c>
      <c r="B236" t="s">
        <v>3</v>
      </c>
      <c r="C236" s="1" t="str">
        <f>HYPERLINK("http://продеталь.рф/search.html?article=200458052","200458052")</f>
        <v>200458052</v>
      </c>
      <c r="D236" t="s">
        <v>4</v>
      </c>
    </row>
    <row r="237" spans="1:4" outlineLevel="1" x14ac:dyDescent="0.25">
      <c r="A237" t="s">
        <v>72</v>
      </c>
      <c r="B237" t="s">
        <v>3</v>
      </c>
      <c r="C237" s="1" t="str">
        <f>HYPERLINK("http://продеталь.рф/search.html?article=200457052","200457052")</f>
        <v>200457052</v>
      </c>
      <c r="D237" t="s">
        <v>4</v>
      </c>
    </row>
    <row r="238" spans="1:4" outlineLevel="1" x14ac:dyDescent="0.25">
      <c r="A238" t="s">
        <v>72</v>
      </c>
      <c r="B238" t="s">
        <v>3</v>
      </c>
      <c r="C238" s="1" t="str">
        <f>HYPERLINK("http://продеталь.рф/search.html?article=2011774062","2011774062")</f>
        <v>2011774062</v>
      </c>
      <c r="D238" t="s">
        <v>4</v>
      </c>
    </row>
    <row r="239" spans="1:4" outlineLevel="1" x14ac:dyDescent="0.25">
      <c r="A239" t="s">
        <v>72</v>
      </c>
      <c r="B239" t="s">
        <v>3</v>
      </c>
      <c r="C239" s="1" t="str">
        <f>HYPERLINK("http://продеталь.рф/search.html?article=2011773062","2011773062")</f>
        <v>2011773062</v>
      </c>
      <c r="D239" t="s">
        <v>4</v>
      </c>
    </row>
    <row r="240" spans="1:4" outlineLevel="1" x14ac:dyDescent="0.25">
      <c r="A240" t="s">
        <v>72</v>
      </c>
      <c r="B240" t="s">
        <v>5</v>
      </c>
      <c r="C240" s="1" t="str">
        <f>HYPERLINK("http://продеталь.рф/search.html?article=210131A","210131A")</f>
        <v>210131A</v>
      </c>
      <c r="D240" t="s">
        <v>21</v>
      </c>
    </row>
    <row r="241" spans="1:4" outlineLevel="1" x14ac:dyDescent="0.25">
      <c r="A241" t="s">
        <v>72</v>
      </c>
      <c r="B241" t="s">
        <v>5</v>
      </c>
      <c r="C241" s="1" t="str">
        <f>HYPERLINK("http://продеталь.рф/search.html?article=210132A","210132A")</f>
        <v>210132A</v>
      </c>
      <c r="D241" t="s">
        <v>21</v>
      </c>
    </row>
    <row r="242" spans="1:4" outlineLevel="1" x14ac:dyDescent="0.25">
      <c r="A242" t="s">
        <v>72</v>
      </c>
      <c r="B242" t="s">
        <v>30</v>
      </c>
      <c r="C242" s="1" t="str">
        <f>HYPERLINK("http://продеталь.рф/search.html?article=1712718","1712718")</f>
        <v>1712718</v>
      </c>
      <c r="D242" t="s">
        <v>58</v>
      </c>
    </row>
    <row r="243" spans="1:4" outlineLevel="1" x14ac:dyDescent="0.25">
      <c r="A243" t="s">
        <v>72</v>
      </c>
      <c r="B243" t="s">
        <v>40</v>
      </c>
      <c r="C243" s="1" t="str">
        <f>HYPERLINK("http://продеталь.рф/search.html?article=AD99031CAL","AD99031CAL")</f>
        <v>AD99031CAL</v>
      </c>
      <c r="D243" t="s">
        <v>2</v>
      </c>
    </row>
    <row r="244" spans="1:4" outlineLevel="1" x14ac:dyDescent="0.25">
      <c r="A244" t="s">
        <v>72</v>
      </c>
      <c r="B244" t="s">
        <v>12</v>
      </c>
      <c r="C244" s="1" t="str">
        <f>HYPERLINK("http://продеталь.рф/search.html?article=AD07014GAN","AD07014GAN")</f>
        <v>AD07014GAN</v>
      </c>
      <c r="D244" t="s">
        <v>2</v>
      </c>
    </row>
    <row r="245" spans="1:4" outlineLevel="1" x14ac:dyDescent="0.25">
      <c r="A245" t="s">
        <v>72</v>
      </c>
      <c r="B245" t="s">
        <v>75</v>
      </c>
      <c r="C245" s="1" t="str">
        <f>HYPERLINK("http://продеталь.рф/search.html?article=18A265012B","18A265012B")</f>
        <v>18A265012B</v>
      </c>
      <c r="D245" t="s">
        <v>4</v>
      </c>
    </row>
    <row r="246" spans="1:4" outlineLevel="1" x14ac:dyDescent="0.25">
      <c r="A246" t="s">
        <v>72</v>
      </c>
      <c r="B246" t="s">
        <v>13</v>
      </c>
      <c r="C246" s="1" t="str">
        <f>HYPERLINK("http://продеталь.рф/search.html?article=AU07000R0","AU07000R0")</f>
        <v>AU07000R0</v>
      </c>
      <c r="D246" t="s">
        <v>9</v>
      </c>
    </row>
    <row r="247" spans="1:4" x14ac:dyDescent="0.25">
      <c r="A247" t="s">
        <v>76</v>
      </c>
      <c r="B247" s="2" t="s">
        <v>76</v>
      </c>
      <c r="C247" s="2"/>
      <c r="D247" s="2"/>
    </row>
    <row r="248" spans="1:4" outlineLevel="1" x14ac:dyDescent="0.25">
      <c r="A248" t="s">
        <v>76</v>
      </c>
      <c r="B248" t="s">
        <v>11</v>
      </c>
      <c r="C248" s="1" t="str">
        <f>HYPERLINK("http://продеталь.рф/search.html?article=AD04006BAV","AD04006BAV")</f>
        <v>AD04006BAV</v>
      </c>
      <c r="D248" t="s">
        <v>2</v>
      </c>
    </row>
    <row r="249" spans="1:4" outlineLevel="1" x14ac:dyDescent="0.25">
      <c r="A249" t="s">
        <v>76</v>
      </c>
      <c r="B249" t="s">
        <v>23</v>
      </c>
      <c r="C249" s="1" t="str">
        <f>HYPERLINK("http://продеталь.рф/search.html?article=110006012","110006012")</f>
        <v>110006012</v>
      </c>
      <c r="D249" t="s">
        <v>4</v>
      </c>
    </row>
    <row r="250" spans="1:4" outlineLevel="1" x14ac:dyDescent="0.25">
      <c r="A250" t="s">
        <v>76</v>
      </c>
      <c r="B250" t="s">
        <v>23</v>
      </c>
      <c r="C250" s="1" t="str">
        <f>HYPERLINK("http://продеталь.рф/search.html?article=110005012","110005012")</f>
        <v>110005012</v>
      </c>
      <c r="D250" t="s">
        <v>4</v>
      </c>
    </row>
    <row r="251" spans="1:4" outlineLevel="1" x14ac:dyDescent="0.25">
      <c r="A251" t="s">
        <v>76</v>
      </c>
      <c r="B251" t="s">
        <v>77</v>
      </c>
      <c r="C251" s="1" t="str">
        <f>HYPERLINK("http://продеталь.рф/search.html?article=RI96896","RI96896")</f>
        <v>RI96896</v>
      </c>
      <c r="D251" t="s">
        <v>6</v>
      </c>
    </row>
    <row r="252" spans="1:4" outlineLevel="1" x14ac:dyDescent="0.25">
      <c r="A252" t="s">
        <v>76</v>
      </c>
      <c r="B252" t="s">
        <v>1</v>
      </c>
      <c r="C252" s="1" t="str">
        <f>HYPERLINK("http://продеталь.рф/search.html?article=AU240150","AU240150")</f>
        <v>AU240150</v>
      </c>
      <c r="D252" t="s">
        <v>9</v>
      </c>
    </row>
    <row r="253" spans="1:4" outlineLevel="1" x14ac:dyDescent="0.25">
      <c r="A253" t="s">
        <v>76</v>
      </c>
      <c r="B253" t="s">
        <v>24</v>
      </c>
      <c r="C253" s="1" t="str">
        <f>HYPERLINK("http://продеталь.рф/search.html?article=99253L","99253L")</f>
        <v>99253L</v>
      </c>
      <c r="D253" t="s">
        <v>36</v>
      </c>
    </row>
    <row r="254" spans="1:4" outlineLevel="1" x14ac:dyDescent="0.25">
      <c r="A254" t="s">
        <v>76</v>
      </c>
      <c r="B254" t="s">
        <v>24</v>
      </c>
      <c r="C254" s="1" t="str">
        <f>HYPERLINK("http://продеталь.рф/search.html?article=99253R","99253R")</f>
        <v>99253R</v>
      </c>
      <c r="D254" t="s">
        <v>36</v>
      </c>
    </row>
    <row r="255" spans="1:4" outlineLevel="1" x14ac:dyDescent="0.25">
      <c r="A255" t="s">
        <v>76</v>
      </c>
      <c r="B255" t="s">
        <v>37</v>
      </c>
      <c r="C255" s="1" t="str">
        <f>HYPERLINK("http://продеталь.рф/search.html?article=PAD88007AL","PAD88007AL")</f>
        <v>PAD88007AL</v>
      </c>
      <c r="D255" t="s">
        <v>6</v>
      </c>
    </row>
    <row r="256" spans="1:4" outlineLevel="1" x14ac:dyDescent="0.25">
      <c r="A256" t="s">
        <v>76</v>
      </c>
      <c r="B256" t="s">
        <v>37</v>
      </c>
      <c r="C256" s="1" t="str">
        <f>HYPERLINK("http://продеталь.рф/search.html?article=PAD88007BL","PAD88007BL")</f>
        <v>PAD88007BL</v>
      </c>
      <c r="D256" t="s">
        <v>6</v>
      </c>
    </row>
    <row r="257" spans="1:4" outlineLevel="1" x14ac:dyDescent="0.25">
      <c r="A257" t="s">
        <v>76</v>
      </c>
      <c r="B257" t="s">
        <v>37</v>
      </c>
      <c r="C257" s="1" t="str">
        <f>HYPERLINK("http://продеталь.рф/search.html?article=PAD88007BR","PAD88007BR")</f>
        <v>PAD88007BR</v>
      </c>
      <c r="D257" t="s">
        <v>6</v>
      </c>
    </row>
    <row r="258" spans="1:4" outlineLevel="1" x14ac:dyDescent="0.25">
      <c r="A258" t="s">
        <v>76</v>
      </c>
      <c r="B258" t="s">
        <v>25</v>
      </c>
      <c r="C258" s="1" t="str">
        <f>HYPERLINK("http://продеталь.рф/search.html?article=PAD88007Q","PAD88007Q")</f>
        <v>PAD88007Q</v>
      </c>
      <c r="D258" t="s">
        <v>6</v>
      </c>
    </row>
    <row r="259" spans="1:4" outlineLevel="1" x14ac:dyDescent="0.25">
      <c r="A259" t="s">
        <v>76</v>
      </c>
      <c r="B259" t="s">
        <v>51</v>
      </c>
      <c r="C259" s="1" t="str">
        <f>HYPERLINK("http://продеталь.рф/search.html?article=AU240270","AU240270")</f>
        <v>AU240270</v>
      </c>
      <c r="D259" t="s">
        <v>9</v>
      </c>
    </row>
    <row r="260" spans="1:4" outlineLevel="1" x14ac:dyDescent="0.25">
      <c r="A260" t="s">
        <v>76</v>
      </c>
      <c r="B260" t="s">
        <v>27</v>
      </c>
      <c r="C260" s="1" t="str">
        <f>HYPERLINK("http://продеталь.рф/search.html?article=AD30005F","AD30005F")</f>
        <v>AD30005F</v>
      </c>
      <c r="D260" t="s">
        <v>2</v>
      </c>
    </row>
    <row r="261" spans="1:4" outlineLevel="1" x14ac:dyDescent="0.25">
      <c r="A261" t="s">
        <v>76</v>
      </c>
      <c r="B261" t="s">
        <v>27</v>
      </c>
      <c r="C261" s="1" t="str">
        <f>HYPERLINK("http://продеталь.рф/search.html?article=AU24009D0","AU24009D0")</f>
        <v>AU24009D0</v>
      </c>
      <c r="D261" t="s">
        <v>9</v>
      </c>
    </row>
    <row r="262" spans="1:4" outlineLevel="1" x14ac:dyDescent="0.25">
      <c r="A262" t="s">
        <v>76</v>
      </c>
      <c r="B262" t="s">
        <v>3</v>
      </c>
      <c r="C262" s="1" t="str">
        <f>HYPERLINK("http://продеталь.рф/search.html?article=205110082","205110082")</f>
        <v>205110082</v>
      </c>
      <c r="D262" t="s">
        <v>4</v>
      </c>
    </row>
    <row r="263" spans="1:4" outlineLevel="1" x14ac:dyDescent="0.25">
      <c r="A263" t="s">
        <v>76</v>
      </c>
      <c r="B263" t="s">
        <v>3</v>
      </c>
      <c r="C263" s="1" t="str">
        <f>HYPERLINK("http://продеталь.рф/search.html?article=205109082","205109082")</f>
        <v>205109082</v>
      </c>
      <c r="D263" t="s">
        <v>4</v>
      </c>
    </row>
    <row r="264" spans="1:4" outlineLevel="1" x14ac:dyDescent="0.25">
      <c r="A264" t="s">
        <v>76</v>
      </c>
      <c r="B264" t="s">
        <v>3</v>
      </c>
      <c r="C264" s="1" t="str">
        <f>HYPERLINK("http://продеталь.рф/search.html?article=200005052","200005052")</f>
        <v>200005052</v>
      </c>
      <c r="D264" t="s">
        <v>4</v>
      </c>
    </row>
    <row r="265" spans="1:4" outlineLevel="1" x14ac:dyDescent="0.25">
      <c r="A265" t="s">
        <v>76</v>
      </c>
      <c r="B265" t="s">
        <v>3</v>
      </c>
      <c r="C265" s="1" t="str">
        <f>HYPERLINK("http://продеталь.рф/search.html?article=200006052","200006052")</f>
        <v>200006052</v>
      </c>
      <c r="D265" t="s">
        <v>4</v>
      </c>
    </row>
    <row r="266" spans="1:4" outlineLevel="1" x14ac:dyDescent="0.25">
      <c r="A266" t="s">
        <v>76</v>
      </c>
      <c r="B266" t="s">
        <v>5</v>
      </c>
      <c r="C266" s="1" t="str">
        <f>HYPERLINK("http://продеталь.рф/search.html?article=210114","210114")</f>
        <v>210114</v>
      </c>
      <c r="D266" t="s">
        <v>21</v>
      </c>
    </row>
    <row r="267" spans="1:4" outlineLevel="1" x14ac:dyDescent="0.25">
      <c r="A267" t="s">
        <v>76</v>
      </c>
      <c r="B267" t="s">
        <v>5</v>
      </c>
      <c r="C267" s="1" t="str">
        <f>HYPERLINK("http://продеталь.рф/search.html?article=210113","210113")</f>
        <v>210113</v>
      </c>
      <c r="D267" t="s">
        <v>21</v>
      </c>
    </row>
    <row r="268" spans="1:4" outlineLevel="1" x14ac:dyDescent="0.25">
      <c r="A268" t="s">
        <v>76</v>
      </c>
      <c r="B268" t="s">
        <v>28</v>
      </c>
      <c r="C268" s="1" t="str">
        <f>HYPERLINK("http://продеталь.рф/search.html?article=RA60499A","RA60499A")</f>
        <v>RA60499A</v>
      </c>
      <c r="D268" t="s">
        <v>6</v>
      </c>
    </row>
    <row r="269" spans="1:4" outlineLevel="1" x14ac:dyDescent="0.25">
      <c r="A269" t="s">
        <v>76</v>
      </c>
      <c r="B269" t="s">
        <v>28</v>
      </c>
      <c r="C269" s="1" t="str">
        <f>HYPERLINK("http://продеталь.рф/search.html?article=RA60496A","RA60496A")</f>
        <v>RA60496A</v>
      </c>
      <c r="D269" t="s">
        <v>6</v>
      </c>
    </row>
    <row r="270" spans="1:4" outlineLevel="1" x14ac:dyDescent="0.25">
      <c r="A270" t="s">
        <v>76</v>
      </c>
      <c r="B270" t="s">
        <v>28</v>
      </c>
      <c r="C270" s="1" t="str">
        <f>HYPERLINK("http://продеталь.рф/search.html?article=RA60498A","RA60498A")</f>
        <v>RA60498A</v>
      </c>
      <c r="D270" t="s">
        <v>6</v>
      </c>
    </row>
    <row r="271" spans="1:4" outlineLevel="1" x14ac:dyDescent="0.25">
      <c r="A271" t="s">
        <v>76</v>
      </c>
      <c r="B271" t="s">
        <v>28</v>
      </c>
      <c r="C271" s="1" t="str">
        <f>HYPERLINK("http://продеталь.рф/search.html?article=RA60489A","RA60489A")</f>
        <v>RA60489A</v>
      </c>
      <c r="D271" t="s">
        <v>6</v>
      </c>
    </row>
    <row r="272" spans="1:4" outlineLevel="1" x14ac:dyDescent="0.25">
      <c r="A272" t="s">
        <v>76</v>
      </c>
      <c r="B272" t="s">
        <v>28</v>
      </c>
      <c r="C272" s="1" t="str">
        <f>HYPERLINK("http://продеталь.рф/search.html?article=RA60497Q","RA60497Q")</f>
        <v>RA60497Q</v>
      </c>
      <c r="D272" t="s">
        <v>6</v>
      </c>
    </row>
    <row r="273" spans="1:4" outlineLevel="1" x14ac:dyDescent="0.25">
      <c r="A273" t="s">
        <v>76</v>
      </c>
      <c r="B273" t="s">
        <v>40</v>
      </c>
      <c r="C273" s="1" t="str">
        <f>HYPERLINK("http://продеталь.рф/search.html?article=AU24000GA1","AU24000GA1")</f>
        <v>AU24000GA1</v>
      </c>
      <c r="D273" t="s">
        <v>9</v>
      </c>
    </row>
    <row r="274" spans="1:4" outlineLevel="1" x14ac:dyDescent="0.25">
      <c r="A274" t="s">
        <v>76</v>
      </c>
      <c r="B274" t="s">
        <v>40</v>
      </c>
      <c r="C274" s="1" t="str">
        <f>HYPERLINK("http://продеталь.рф/search.html?article=250510","250510")</f>
        <v>250510</v>
      </c>
      <c r="D274" t="s">
        <v>61</v>
      </c>
    </row>
    <row r="275" spans="1:4" outlineLevel="1" x14ac:dyDescent="0.25">
      <c r="A275" t="s">
        <v>76</v>
      </c>
      <c r="B275" t="s">
        <v>40</v>
      </c>
      <c r="C275" s="1" t="str">
        <f>HYPERLINK("http://продеталь.рф/search.html?article=AD99006GA","AD99006GA")</f>
        <v>AD99006GA</v>
      </c>
      <c r="D275" t="s">
        <v>2</v>
      </c>
    </row>
    <row r="276" spans="1:4" outlineLevel="1" x14ac:dyDescent="0.25">
      <c r="A276" t="s">
        <v>76</v>
      </c>
      <c r="B276" t="s">
        <v>40</v>
      </c>
      <c r="C276" s="1" t="str">
        <f>HYPERLINK("http://продеталь.рф/search.html?article=250509","250509")</f>
        <v>250509</v>
      </c>
      <c r="D276" t="s">
        <v>61</v>
      </c>
    </row>
    <row r="277" spans="1:4" outlineLevel="1" x14ac:dyDescent="0.25">
      <c r="A277" t="s">
        <v>76</v>
      </c>
      <c r="B277" t="s">
        <v>32</v>
      </c>
      <c r="C277" s="1" t="str">
        <f>HYPERLINK("http://продеталь.рф/search.html?article=SADM1004BTL","SADM1004BTL")</f>
        <v>SADM1004BTL</v>
      </c>
      <c r="D277" t="s">
        <v>6</v>
      </c>
    </row>
    <row r="278" spans="1:4" outlineLevel="1" x14ac:dyDescent="0.25">
      <c r="A278" t="s">
        <v>76</v>
      </c>
      <c r="B278" t="s">
        <v>32</v>
      </c>
      <c r="C278" s="1" t="str">
        <f>HYPERLINK("http://продеталь.рф/search.html?article=SADM1004BTR","SADM1004BTR")</f>
        <v>SADM1004BTR</v>
      </c>
      <c r="D278" t="s">
        <v>6</v>
      </c>
    </row>
    <row r="279" spans="1:4" outlineLevel="1" x14ac:dyDescent="0.25">
      <c r="A279" t="s">
        <v>76</v>
      </c>
      <c r="B279" t="s">
        <v>32</v>
      </c>
      <c r="C279" s="1" t="str">
        <f>HYPERLINK("http://продеталь.рф/search.html?article=30200261","30200261")</f>
        <v>30200261</v>
      </c>
      <c r="D279" t="s">
        <v>4</v>
      </c>
    </row>
    <row r="280" spans="1:4" outlineLevel="1" x14ac:dyDescent="0.25">
      <c r="A280" t="s">
        <v>76</v>
      </c>
      <c r="B280" t="s">
        <v>16</v>
      </c>
      <c r="C280" s="1" t="str">
        <f>HYPERLINK("http://продеталь.рф/search.html?article=183566005","183566005")</f>
        <v>183566005</v>
      </c>
      <c r="D280" t="s">
        <v>4</v>
      </c>
    </row>
    <row r="281" spans="1:4" outlineLevel="1" x14ac:dyDescent="0.25">
      <c r="A281" t="s">
        <v>76</v>
      </c>
      <c r="B281" t="s">
        <v>16</v>
      </c>
      <c r="C281" s="1" t="str">
        <f>HYPERLINK("http://продеталь.рф/search.html?article=183565005","183565005")</f>
        <v>183565005</v>
      </c>
      <c r="D281" t="s">
        <v>4</v>
      </c>
    </row>
    <row r="282" spans="1:4" outlineLevel="1" x14ac:dyDescent="0.25">
      <c r="A282" t="s">
        <v>76</v>
      </c>
      <c r="B282" t="s">
        <v>75</v>
      </c>
      <c r="C282" s="1" t="str">
        <f>HYPERLINK("http://продеталь.рф/search.html?article=185327152","185327152")</f>
        <v>185327152</v>
      </c>
      <c r="D282" t="s">
        <v>4</v>
      </c>
    </row>
    <row r="283" spans="1:4" outlineLevel="1" x14ac:dyDescent="0.25">
      <c r="A283" t="s">
        <v>76</v>
      </c>
      <c r="B283" t="s">
        <v>75</v>
      </c>
      <c r="C283" s="1" t="str">
        <f>HYPERLINK("http://продеталь.рф/search.html?article=185327052","185327052")</f>
        <v>185327052</v>
      </c>
      <c r="D283" t="s">
        <v>4</v>
      </c>
    </row>
    <row r="284" spans="1:4" outlineLevel="1" x14ac:dyDescent="0.25">
      <c r="A284" t="s">
        <v>76</v>
      </c>
      <c r="B284" t="s">
        <v>75</v>
      </c>
      <c r="C284" s="1" t="str">
        <f>HYPERLINK("http://продеталь.рф/search.html?article=185327252","185327252")</f>
        <v>185327252</v>
      </c>
      <c r="D284" t="s">
        <v>4</v>
      </c>
    </row>
    <row r="285" spans="1:4" outlineLevel="1" x14ac:dyDescent="0.25">
      <c r="A285" t="s">
        <v>76</v>
      </c>
      <c r="B285" t="s">
        <v>75</v>
      </c>
      <c r="C285" s="1" t="str">
        <f>HYPERLINK("http://продеталь.рф/search.html?article=185327552","185327552")</f>
        <v>185327552</v>
      </c>
      <c r="D285" t="s">
        <v>4</v>
      </c>
    </row>
    <row r="286" spans="1:4" x14ac:dyDescent="0.25">
      <c r="A286" t="s">
        <v>78</v>
      </c>
      <c r="B286" s="2" t="s">
        <v>78</v>
      </c>
      <c r="C286" s="2"/>
      <c r="D286" s="2"/>
    </row>
    <row r="287" spans="1:4" outlineLevel="1" x14ac:dyDescent="0.25">
      <c r="A287" t="s">
        <v>78</v>
      </c>
      <c r="B287" t="s">
        <v>11</v>
      </c>
      <c r="C287" s="1" t="str">
        <f>HYPERLINK("http://продеталь.рф/search.html?article=AD04013BA","AD04013BA")</f>
        <v>AD04013BA</v>
      </c>
      <c r="D287" t="s">
        <v>2</v>
      </c>
    </row>
    <row r="288" spans="1:4" outlineLevel="1" x14ac:dyDescent="0.25">
      <c r="A288" t="s">
        <v>78</v>
      </c>
      <c r="B288" t="s">
        <v>15</v>
      </c>
      <c r="C288" s="1" t="str">
        <f>HYPERLINK("http://продеталь.рф/search.html?article=3020015","3020015")</f>
        <v>3020015</v>
      </c>
      <c r="D288" t="s">
        <v>4</v>
      </c>
    </row>
    <row r="289" spans="1:4" outlineLevel="1" x14ac:dyDescent="0.25">
      <c r="A289" t="s">
        <v>78</v>
      </c>
      <c r="B289" t="s">
        <v>15</v>
      </c>
      <c r="C289" s="1" t="str">
        <f>HYPERLINK("http://продеталь.рф/search.html?article=3020016","3020016")</f>
        <v>3020016</v>
      </c>
      <c r="D289" t="s">
        <v>4</v>
      </c>
    </row>
    <row r="290" spans="1:4" outlineLevel="1" x14ac:dyDescent="0.25">
      <c r="A290" t="s">
        <v>78</v>
      </c>
      <c r="B290" t="s">
        <v>79</v>
      </c>
      <c r="C290" s="1" t="str">
        <f>HYPERLINK("http://продеталь.рф/search.html?article=RDAU250040S","RDAU250040S")</f>
        <v>RDAU250040S</v>
      </c>
      <c r="D290" t="s">
        <v>6</v>
      </c>
    </row>
    <row r="291" spans="1:4" outlineLevel="1" x14ac:dyDescent="0.25">
      <c r="A291" t="s">
        <v>78</v>
      </c>
      <c r="B291" t="s">
        <v>80</v>
      </c>
      <c r="C291" s="1" t="str">
        <f>HYPERLINK("http://продеталь.рф/search.html?article=1334346","1334346")</f>
        <v>1334346</v>
      </c>
      <c r="D291" t="s">
        <v>81</v>
      </c>
    </row>
    <row r="292" spans="1:4" outlineLevel="1" x14ac:dyDescent="0.25">
      <c r="A292" t="s">
        <v>78</v>
      </c>
      <c r="B292" t="s">
        <v>77</v>
      </c>
      <c r="C292" s="1" t="str">
        <f>HYPERLINK("http://продеталь.рф/search.html?article=RI96707","RI96707")</f>
        <v>RI96707</v>
      </c>
      <c r="D292" t="s">
        <v>6</v>
      </c>
    </row>
    <row r="293" spans="1:4" outlineLevel="1" x14ac:dyDescent="0.25">
      <c r="A293" t="s">
        <v>78</v>
      </c>
      <c r="B293" t="s">
        <v>1</v>
      </c>
      <c r="C293" s="1" t="str">
        <f>HYPERLINK("http://продеталь.рф/search.html?article=AU250150","AU250150")</f>
        <v>AU250150</v>
      </c>
      <c r="D293" t="s">
        <v>9</v>
      </c>
    </row>
    <row r="294" spans="1:4" outlineLevel="1" x14ac:dyDescent="0.25">
      <c r="A294" t="s">
        <v>78</v>
      </c>
      <c r="B294" t="s">
        <v>24</v>
      </c>
      <c r="C294" s="1" t="str">
        <f>HYPERLINK("http://продеталь.рф/search.html?article=AU250162","AU250162")</f>
        <v>AU250162</v>
      </c>
      <c r="D294" t="s">
        <v>9</v>
      </c>
    </row>
    <row r="295" spans="1:4" outlineLevel="1" x14ac:dyDescent="0.25">
      <c r="A295" t="s">
        <v>78</v>
      </c>
      <c r="B295" t="s">
        <v>24</v>
      </c>
      <c r="C295" s="1" t="str">
        <f>HYPERLINK("http://продеталь.рф/search.html?article=AU250161","AU250161")</f>
        <v>AU250161</v>
      </c>
      <c r="D295" t="s">
        <v>9</v>
      </c>
    </row>
    <row r="296" spans="1:4" outlineLevel="1" x14ac:dyDescent="0.25">
      <c r="A296" t="s">
        <v>78</v>
      </c>
      <c r="B296" t="s">
        <v>37</v>
      </c>
      <c r="C296" s="1" t="str">
        <f>HYPERLINK("http://продеталь.рф/search.html?article=1710251","1710251")</f>
        <v>1710251</v>
      </c>
      <c r="D296" t="s">
        <v>58</v>
      </c>
    </row>
    <row r="297" spans="1:4" outlineLevel="1" x14ac:dyDescent="0.25">
      <c r="A297" t="s">
        <v>78</v>
      </c>
      <c r="B297" t="s">
        <v>37</v>
      </c>
      <c r="C297" s="1" t="str">
        <f>HYPERLINK("http://продеталь.рф/search.html?article=1710254","1710254")</f>
        <v>1710254</v>
      </c>
      <c r="D297" t="s">
        <v>58</v>
      </c>
    </row>
    <row r="298" spans="1:4" outlineLevel="1" x14ac:dyDescent="0.25">
      <c r="A298" t="s">
        <v>78</v>
      </c>
      <c r="B298" t="s">
        <v>37</v>
      </c>
      <c r="C298" s="1" t="str">
        <f>HYPERLINK("http://продеталь.рф/search.html?article=PAD88008L","PAD88008L")</f>
        <v>PAD88008L</v>
      </c>
      <c r="D298" t="s">
        <v>6</v>
      </c>
    </row>
    <row r="299" spans="1:4" outlineLevel="1" x14ac:dyDescent="0.25">
      <c r="A299" t="s">
        <v>78</v>
      </c>
      <c r="B299" t="s">
        <v>37</v>
      </c>
      <c r="C299" s="1" t="str">
        <f>HYPERLINK("http://продеталь.рф/search.html?article=1710255","1710255")</f>
        <v>1710255</v>
      </c>
      <c r="D299" t="s">
        <v>58</v>
      </c>
    </row>
    <row r="300" spans="1:4" outlineLevel="1" x14ac:dyDescent="0.25">
      <c r="A300" t="s">
        <v>78</v>
      </c>
      <c r="B300" t="s">
        <v>51</v>
      </c>
      <c r="C300" s="1" t="str">
        <f>HYPERLINK("http://продеталь.рф/search.html?article=AD34004A","AD34004A")</f>
        <v>AD34004A</v>
      </c>
      <c r="D300" t="s">
        <v>2</v>
      </c>
    </row>
    <row r="301" spans="1:4" outlineLevel="1" x14ac:dyDescent="0.25">
      <c r="A301" t="s">
        <v>78</v>
      </c>
      <c r="B301" t="s">
        <v>27</v>
      </c>
      <c r="C301" s="1" t="str">
        <f>HYPERLINK("http://продеталь.рф/search.html?article=AU250090","AU250090")</f>
        <v>AU250090</v>
      </c>
      <c r="D301" t="s">
        <v>9</v>
      </c>
    </row>
    <row r="302" spans="1:4" outlineLevel="1" x14ac:dyDescent="0.25">
      <c r="A302" t="s">
        <v>78</v>
      </c>
      <c r="B302" t="s">
        <v>27</v>
      </c>
      <c r="C302" s="1" t="str">
        <f>HYPERLINK("http://продеталь.рф/search.html?article=31000136","31000136")</f>
        <v>31000136</v>
      </c>
      <c r="D302" t="s">
        <v>2</v>
      </c>
    </row>
    <row r="303" spans="1:4" outlineLevel="1" x14ac:dyDescent="0.25">
      <c r="A303" t="s">
        <v>78</v>
      </c>
      <c r="B303" t="s">
        <v>3</v>
      </c>
      <c r="C303" s="1" t="str">
        <f>HYPERLINK("http://продеталь.рф/search.html?article=200008052","200008052")</f>
        <v>200008052</v>
      </c>
      <c r="D303" t="s">
        <v>4</v>
      </c>
    </row>
    <row r="304" spans="1:4" outlineLevel="1" x14ac:dyDescent="0.25">
      <c r="A304" t="s">
        <v>78</v>
      </c>
      <c r="B304" t="s">
        <v>19</v>
      </c>
      <c r="C304" s="1" t="str">
        <f>HYPERLINK("http://продеталь.рф/search.html?article=ZAD2019L","ZAD2019L")</f>
        <v>ZAD2019L</v>
      </c>
      <c r="D304" t="s">
        <v>6</v>
      </c>
    </row>
    <row r="305" spans="1:4" outlineLevel="1" x14ac:dyDescent="0.25">
      <c r="A305" t="s">
        <v>78</v>
      </c>
      <c r="B305" t="s">
        <v>28</v>
      </c>
      <c r="C305" s="1" t="str">
        <f>HYPERLINK("http://продеталь.рф/search.html?article=7020014","7020014")</f>
        <v>7020014</v>
      </c>
      <c r="D305" t="s">
        <v>4</v>
      </c>
    </row>
    <row r="306" spans="1:4" outlineLevel="1" x14ac:dyDescent="0.25">
      <c r="A306" t="s">
        <v>78</v>
      </c>
      <c r="B306" t="s">
        <v>40</v>
      </c>
      <c r="C306" s="1" t="str">
        <f>HYPERLINK("http://продеталь.рф/search.html?article=AD07013GAL","AD07013GAL")</f>
        <v>AD07013GAL</v>
      </c>
      <c r="D306" t="s">
        <v>2</v>
      </c>
    </row>
    <row r="307" spans="1:4" outlineLevel="1" x14ac:dyDescent="0.25">
      <c r="A307" t="s">
        <v>78</v>
      </c>
      <c r="B307" t="s">
        <v>40</v>
      </c>
      <c r="C307" s="1" t="str">
        <f>HYPERLINK("http://продеталь.рф/search.html?article=AD07013GAR","AD07013GAR")</f>
        <v>AD07013GAR</v>
      </c>
      <c r="D307" t="s">
        <v>2</v>
      </c>
    </row>
    <row r="308" spans="1:4" outlineLevel="1" x14ac:dyDescent="0.25">
      <c r="A308" t="s">
        <v>78</v>
      </c>
      <c r="B308" t="s">
        <v>12</v>
      </c>
      <c r="C308" s="1" t="str">
        <f>HYPERLINK("http://продеталь.рф/search.html?article=AD07011GA","AD07011GA")</f>
        <v>AD07011GA</v>
      </c>
      <c r="D308" t="s">
        <v>2</v>
      </c>
    </row>
    <row r="309" spans="1:4" outlineLevel="1" x14ac:dyDescent="0.25">
      <c r="A309" t="s">
        <v>78</v>
      </c>
      <c r="B309" t="s">
        <v>71</v>
      </c>
      <c r="C309" s="1" t="str">
        <f>HYPERLINK("http://продеталь.рф/search.html?article=AU25001300000","AU25001300000")</f>
        <v>AU25001300000</v>
      </c>
      <c r="D309" t="s">
        <v>9</v>
      </c>
    </row>
    <row r="310" spans="1:4" outlineLevel="1" x14ac:dyDescent="0.25">
      <c r="A310" t="s">
        <v>78</v>
      </c>
      <c r="B310" t="s">
        <v>32</v>
      </c>
      <c r="C310" s="1" t="str">
        <f>HYPERLINK("http://продеталь.рф/search.html?article=SADM1005FL","SADM1005FL")</f>
        <v>SADM1005FL</v>
      </c>
      <c r="D310" t="s">
        <v>6</v>
      </c>
    </row>
    <row r="311" spans="1:4" outlineLevel="1" x14ac:dyDescent="0.25">
      <c r="A311" t="s">
        <v>78</v>
      </c>
      <c r="B311" t="s">
        <v>13</v>
      </c>
      <c r="C311" s="1" t="str">
        <f>HYPERLINK("http://продеталь.рф/search.html?article=AU25000R0","AU25000R0")</f>
        <v>AU25000R0</v>
      </c>
      <c r="D311" t="s">
        <v>9</v>
      </c>
    </row>
    <row r="312" spans="1:4" x14ac:dyDescent="0.25">
      <c r="A312" t="s">
        <v>82</v>
      </c>
      <c r="B312" s="2" t="s">
        <v>82</v>
      </c>
      <c r="C312" s="2"/>
      <c r="D312" s="2"/>
    </row>
    <row r="313" spans="1:4" outlineLevel="1" x14ac:dyDescent="0.25">
      <c r="A313" t="s">
        <v>82</v>
      </c>
      <c r="B313" t="s">
        <v>11</v>
      </c>
      <c r="C313" s="1" t="str">
        <f>HYPERLINK("http://продеталь.рф/search.html?article=AD04016BAN","AD04016BAN")</f>
        <v>AD04016BAN</v>
      </c>
      <c r="D313" t="s">
        <v>2</v>
      </c>
    </row>
    <row r="314" spans="1:4" outlineLevel="1" x14ac:dyDescent="0.25">
      <c r="A314" t="s">
        <v>82</v>
      </c>
      <c r="B314" t="s">
        <v>83</v>
      </c>
      <c r="C314" s="1" t="str">
        <f>HYPERLINK("http://продеталь.рф/search.html?article=AD99023CAR","AD99023CAR")</f>
        <v>AD99023CAR</v>
      </c>
      <c r="D314" t="s">
        <v>2</v>
      </c>
    </row>
    <row r="315" spans="1:4" outlineLevel="1" x14ac:dyDescent="0.25">
      <c r="A315" t="s">
        <v>82</v>
      </c>
      <c r="B315" t="s">
        <v>23</v>
      </c>
      <c r="C315" s="1" t="str">
        <f>HYPERLINK("http://продеталь.рф/search.html?article=11B186019B","11B186019B")</f>
        <v>11B186019B</v>
      </c>
      <c r="D315" t="s">
        <v>4</v>
      </c>
    </row>
    <row r="316" spans="1:4" outlineLevel="1" x14ac:dyDescent="0.25">
      <c r="A316" t="s">
        <v>82</v>
      </c>
      <c r="B316" t="s">
        <v>23</v>
      </c>
      <c r="C316" s="1" t="str">
        <f>HYPERLINK("http://продеталь.рф/search.html?article=11B185019B","11B185019B")</f>
        <v>11B185019B</v>
      </c>
      <c r="D316" t="s">
        <v>4</v>
      </c>
    </row>
    <row r="317" spans="1:4" outlineLevel="1" x14ac:dyDescent="0.25">
      <c r="A317" t="s">
        <v>82</v>
      </c>
      <c r="B317" t="s">
        <v>1</v>
      </c>
      <c r="C317" s="1" t="str">
        <f>HYPERLINK("http://продеталь.рф/search.html?article=99627","99627")</f>
        <v>99627</v>
      </c>
      <c r="D317" t="s">
        <v>36</v>
      </c>
    </row>
    <row r="318" spans="1:4" outlineLevel="1" x14ac:dyDescent="0.25">
      <c r="A318" t="s">
        <v>82</v>
      </c>
      <c r="B318" t="s">
        <v>84</v>
      </c>
      <c r="C318" s="1" t="str">
        <f>HYPERLINK("http://продеталь.рф/search.html?article=1707312","1707312")</f>
        <v>1707312</v>
      </c>
      <c r="D318" t="s">
        <v>58</v>
      </c>
    </row>
    <row r="319" spans="1:4" outlineLevel="1" x14ac:dyDescent="0.25">
      <c r="A319" t="s">
        <v>82</v>
      </c>
      <c r="B319" t="s">
        <v>84</v>
      </c>
      <c r="C319" s="1" t="str">
        <f>HYPERLINK("http://продеталь.рф/search.html?article=1707311","1707311")</f>
        <v>1707311</v>
      </c>
      <c r="D319" t="s">
        <v>58</v>
      </c>
    </row>
    <row r="320" spans="1:4" outlineLevel="1" x14ac:dyDescent="0.25">
      <c r="A320" t="s">
        <v>82</v>
      </c>
      <c r="B320" t="s">
        <v>24</v>
      </c>
      <c r="C320" s="1" t="str">
        <f>HYPERLINK("http://продеталь.рф/search.html?article=AU26001600R00","AU26001600R00")</f>
        <v>AU26001600R00</v>
      </c>
      <c r="D320" t="s">
        <v>9</v>
      </c>
    </row>
    <row r="321" spans="1:4" outlineLevel="1" x14ac:dyDescent="0.25">
      <c r="A321" t="s">
        <v>82</v>
      </c>
      <c r="B321" t="s">
        <v>24</v>
      </c>
      <c r="C321" s="1" t="str">
        <f>HYPERLINK("http://продеталь.рф/search.html?article=AU26001600L00","AU26001600L00")</f>
        <v>AU26001600L00</v>
      </c>
      <c r="D321" t="s">
        <v>9</v>
      </c>
    </row>
    <row r="322" spans="1:4" outlineLevel="1" x14ac:dyDescent="0.25">
      <c r="A322" t="s">
        <v>82</v>
      </c>
      <c r="B322" t="s">
        <v>27</v>
      </c>
      <c r="C322" s="1" t="str">
        <f>HYPERLINK("http://продеталь.рф/search.html?article=PAD03004B","PAD03004B")</f>
        <v>PAD03004B</v>
      </c>
      <c r="D322" t="s">
        <v>6</v>
      </c>
    </row>
    <row r="323" spans="1:4" outlineLevel="1" x14ac:dyDescent="0.25">
      <c r="A323" t="s">
        <v>82</v>
      </c>
      <c r="B323" t="s">
        <v>3</v>
      </c>
      <c r="C323" s="1" t="str">
        <f>HYPERLINK("http://продеталь.рф/search.html?article=200530052","200530052")</f>
        <v>200530052</v>
      </c>
      <c r="D323" t="s">
        <v>4</v>
      </c>
    </row>
    <row r="324" spans="1:4" outlineLevel="1" x14ac:dyDescent="0.25">
      <c r="A324" t="s">
        <v>82</v>
      </c>
      <c r="B324" t="s">
        <v>5</v>
      </c>
      <c r="C324" s="1" t="str">
        <f>HYPERLINK("http://продеталь.рф/search.html?article=AU26016LA2","AU26016LA2")</f>
        <v>AU26016LA2</v>
      </c>
      <c r="D324" t="s">
        <v>9</v>
      </c>
    </row>
    <row r="325" spans="1:4" outlineLevel="1" x14ac:dyDescent="0.25">
      <c r="A325" t="s">
        <v>82</v>
      </c>
      <c r="B325" t="s">
        <v>5</v>
      </c>
      <c r="C325" s="1" t="str">
        <f>HYPERLINK("http://продеталь.рф/search.html?article=AU26016LA1","AU26016LA1")</f>
        <v>AU26016LA1</v>
      </c>
      <c r="D325" t="s">
        <v>9</v>
      </c>
    </row>
    <row r="326" spans="1:4" outlineLevel="1" x14ac:dyDescent="0.25">
      <c r="A326" t="s">
        <v>82</v>
      </c>
      <c r="B326" t="s">
        <v>30</v>
      </c>
      <c r="C326" s="1" t="str">
        <f>HYPERLINK("http://продеталь.рф/search.html?article=AD99026CAL","AD99026CAL")</f>
        <v>AD99026CAL</v>
      </c>
      <c r="D326" t="s">
        <v>2</v>
      </c>
    </row>
    <row r="327" spans="1:4" outlineLevel="1" x14ac:dyDescent="0.25">
      <c r="A327" t="s">
        <v>82</v>
      </c>
      <c r="B327" t="s">
        <v>30</v>
      </c>
      <c r="C327" s="1" t="str">
        <f>HYPERLINK("http://продеталь.рф/search.html?article=AD99026CAR","AD99026CAR")</f>
        <v>AD99026CAR</v>
      </c>
      <c r="D327" t="s">
        <v>2</v>
      </c>
    </row>
    <row r="328" spans="1:4" outlineLevel="1" x14ac:dyDescent="0.25">
      <c r="A328" t="s">
        <v>82</v>
      </c>
      <c r="B328" t="s">
        <v>12</v>
      </c>
      <c r="C328" s="1" t="str">
        <f>HYPERLINK("http://продеталь.рф/search.html?article=AD07015GA","AD07015GA")</f>
        <v>AD07015GA</v>
      </c>
      <c r="D328" t="s">
        <v>2</v>
      </c>
    </row>
    <row r="329" spans="1:4" outlineLevel="1" x14ac:dyDescent="0.25">
      <c r="A329" t="s">
        <v>82</v>
      </c>
      <c r="B329" t="s">
        <v>12</v>
      </c>
      <c r="C329" s="1" t="str">
        <f>HYPERLINK("http://продеталь.рф/search.html?article=PAD07015GAK","PAD07015GAK")</f>
        <v>PAD07015GAK</v>
      </c>
      <c r="D329" t="s">
        <v>6</v>
      </c>
    </row>
    <row r="330" spans="1:4" outlineLevel="1" x14ac:dyDescent="0.25">
      <c r="A330" t="s">
        <v>82</v>
      </c>
      <c r="B330" t="s">
        <v>32</v>
      </c>
      <c r="C330" s="1" t="str">
        <f>HYPERLINK("http://продеталь.рф/search.html?article=30200361","30200361")</f>
        <v>30200361</v>
      </c>
      <c r="D330" t="s">
        <v>4</v>
      </c>
    </row>
    <row r="331" spans="1:4" outlineLevel="1" x14ac:dyDescent="0.25">
      <c r="A331" t="s">
        <v>82</v>
      </c>
      <c r="B331" t="s">
        <v>13</v>
      </c>
      <c r="C331" s="1" t="str">
        <f>HYPERLINK("http://продеталь.рф/search.html?article=AU26000R0","AU26000R0")</f>
        <v>AU26000R0</v>
      </c>
      <c r="D331" t="s">
        <v>9</v>
      </c>
    </row>
    <row r="332" spans="1:4" x14ac:dyDescent="0.25">
      <c r="A332" t="s">
        <v>85</v>
      </c>
      <c r="B332" s="2" t="s">
        <v>85</v>
      </c>
      <c r="C332" s="2"/>
      <c r="D332" s="2"/>
    </row>
    <row r="333" spans="1:4" outlineLevel="1" x14ac:dyDescent="0.25">
      <c r="A333" t="s">
        <v>85</v>
      </c>
      <c r="B333" t="s">
        <v>11</v>
      </c>
      <c r="C333" s="1" t="str">
        <f>HYPERLINK("http://продеталь.рф/search.html?article=PAD04033BC","PAD04033BC")</f>
        <v>PAD04033BC</v>
      </c>
      <c r="D333" t="s">
        <v>6</v>
      </c>
    </row>
    <row r="334" spans="1:4" outlineLevel="1" x14ac:dyDescent="0.25">
      <c r="A334" t="s">
        <v>85</v>
      </c>
      <c r="B334" t="s">
        <v>35</v>
      </c>
      <c r="C334" s="1" t="str">
        <f>HYPERLINK("http://продеталь.рф/search.html?article=PAD33009A","PAD33009A")</f>
        <v>PAD33009A</v>
      </c>
      <c r="D334" t="s">
        <v>6</v>
      </c>
    </row>
    <row r="335" spans="1:4" outlineLevel="1" x14ac:dyDescent="0.25">
      <c r="A335" t="s">
        <v>85</v>
      </c>
      <c r="B335" t="s">
        <v>86</v>
      </c>
      <c r="C335" s="1" t="str">
        <f>HYPERLINK("http://продеталь.рф/search.html?article=AD43014CR","AD43014CR")</f>
        <v>AD43014CR</v>
      </c>
      <c r="D335" t="s">
        <v>2</v>
      </c>
    </row>
    <row r="336" spans="1:4" outlineLevel="1" x14ac:dyDescent="0.25">
      <c r="A336" t="s">
        <v>85</v>
      </c>
      <c r="B336" t="s">
        <v>84</v>
      </c>
      <c r="C336" s="1" t="str">
        <f>HYPERLINK("http://продеталь.рф/search.html?article=PAD43014AL","PAD43014AL")</f>
        <v>PAD43014AL</v>
      </c>
      <c r="D336" t="s">
        <v>6</v>
      </c>
    </row>
    <row r="337" spans="1:4" outlineLevel="1" x14ac:dyDescent="0.25">
      <c r="A337" t="s">
        <v>85</v>
      </c>
      <c r="B337" t="s">
        <v>84</v>
      </c>
      <c r="C337" s="1" t="str">
        <f>HYPERLINK("http://продеталь.рф/search.html?article=PAD43014AR","PAD43014AR")</f>
        <v>PAD43014AR</v>
      </c>
      <c r="D337" t="s">
        <v>6</v>
      </c>
    </row>
    <row r="338" spans="1:4" outlineLevel="1" x14ac:dyDescent="0.25">
      <c r="A338" t="s">
        <v>85</v>
      </c>
      <c r="B338" t="s">
        <v>84</v>
      </c>
      <c r="C338" s="1" t="str">
        <f>HYPERLINK("http://продеталь.рф/search.html?article=AU261000U1R00","AU261000U1R00")</f>
        <v>AU261000U1R00</v>
      </c>
      <c r="D338" t="s">
        <v>9</v>
      </c>
    </row>
    <row r="339" spans="1:4" outlineLevel="1" x14ac:dyDescent="0.25">
      <c r="A339" t="s">
        <v>85</v>
      </c>
      <c r="B339" t="s">
        <v>66</v>
      </c>
      <c r="C339" s="1" t="str">
        <f>HYPERLINK("http://продеталь.рф/search.html?article=BK058","BK058")</f>
        <v>BK058</v>
      </c>
      <c r="D339" t="s">
        <v>6</v>
      </c>
    </row>
    <row r="340" spans="1:4" outlineLevel="1" x14ac:dyDescent="0.25">
      <c r="A340" t="s">
        <v>85</v>
      </c>
      <c r="B340" t="s">
        <v>27</v>
      </c>
      <c r="C340" s="1" t="str">
        <f>HYPERLINK("http://продеталь.рф/search.html?article=PAD30021A","PAD30021A")</f>
        <v>PAD30021A</v>
      </c>
      <c r="D340" t="s">
        <v>6</v>
      </c>
    </row>
    <row r="341" spans="1:4" outlineLevel="1" x14ac:dyDescent="0.25">
      <c r="A341" t="s">
        <v>85</v>
      </c>
      <c r="B341" t="s">
        <v>5</v>
      </c>
      <c r="C341" s="1" t="str">
        <f>HYPERLINK("http://продеталь.рф/search.html?article=PAD11023AL","PAD11023AL")</f>
        <v>PAD11023AL</v>
      </c>
      <c r="D341" t="s">
        <v>6</v>
      </c>
    </row>
    <row r="342" spans="1:4" outlineLevel="1" x14ac:dyDescent="0.25">
      <c r="A342" t="s">
        <v>85</v>
      </c>
      <c r="B342" t="s">
        <v>5</v>
      </c>
      <c r="C342" s="1" t="str">
        <f>HYPERLINK("http://продеталь.рф/search.html?article=PAD11023AR","PAD11023AR")</f>
        <v>PAD11023AR</v>
      </c>
      <c r="D342" t="s">
        <v>6</v>
      </c>
    </row>
    <row r="343" spans="1:4" outlineLevel="1" x14ac:dyDescent="0.25">
      <c r="A343" t="s">
        <v>85</v>
      </c>
      <c r="B343" t="s">
        <v>40</v>
      </c>
      <c r="C343" s="1" t="str">
        <f>HYPERLINK("http://продеталь.рф/search.html?article=AU261000G0L00","AU261000G0L00")</f>
        <v>AU261000G0L00</v>
      </c>
      <c r="D343" t="s">
        <v>9</v>
      </c>
    </row>
    <row r="344" spans="1:4" outlineLevel="1" x14ac:dyDescent="0.25">
      <c r="A344" t="s">
        <v>85</v>
      </c>
      <c r="B344" t="s">
        <v>12</v>
      </c>
      <c r="C344" s="1" t="str">
        <f>HYPERLINK("http://продеталь.рф/search.html?article=AD07019GA","AD07019GA")</f>
        <v>AD07019GA</v>
      </c>
      <c r="D344" t="s">
        <v>2</v>
      </c>
    </row>
    <row r="345" spans="1:4" x14ac:dyDescent="0.25">
      <c r="A345" t="s">
        <v>87</v>
      </c>
      <c r="B345" s="2" t="s">
        <v>87</v>
      </c>
      <c r="C345" s="2"/>
      <c r="D345" s="2"/>
    </row>
    <row r="346" spans="1:4" outlineLevel="1" x14ac:dyDescent="0.25">
      <c r="A346" t="s">
        <v>87</v>
      </c>
      <c r="B346" t="s">
        <v>12</v>
      </c>
      <c r="C346" s="1" t="str">
        <f>HYPERLINK("http://продеталь.рф/search.html?article=AD07030GA","AD07030GA")</f>
        <v>AD07030GA</v>
      </c>
      <c r="D346" t="s">
        <v>2</v>
      </c>
    </row>
    <row r="347" spans="1:4" outlineLevel="1" x14ac:dyDescent="0.25">
      <c r="A347" t="s">
        <v>87</v>
      </c>
      <c r="B347" t="s">
        <v>32</v>
      </c>
      <c r="C347" s="1" t="str">
        <f>HYPERLINK("http://продеталь.рф/search.html?article=SADM1013ER","SADM1013ER")</f>
        <v>SADM1013ER</v>
      </c>
      <c r="D347" t="s">
        <v>6</v>
      </c>
    </row>
    <row r="348" spans="1:4" x14ac:dyDescent="0.25">
      <c r="A348" t="s">
        <v>88</v>
      </c>
      <c r="B348" s="2" t="s">
        <v>88</v>
      </c>
      <c r="C348" s="2"/>
      <c r="D348" s="2"/>
    </row>
    <row r="349" spans="1:4" outlineLevel="1" x14ac:dyDescent="0.25">
      <c r="A349" t="s">
        <v>88</v>
      </c>
      <c r="B349" t="s">
        <v>11</v>
      </c>
      <c r="C349" s="1" t="str">
        <f>HYPERLINK("http://продеталь.рф/search.html?article=PAD04007BK","PAD04007BK")</f>
        <v>PAD04007BK</v>
      </c>
      <c r="D349" t="s">
        <v>6</v>
      </c>
    </row>
    <row r="350" spans="1:4" outlineLevel="1" x14ac:dyDescent="0.25">
      <c r="A350" t="s">
        <v>88</v>
      </c>
      <c r="B350" t="s">
        <v>15</v>
      </c>
      <c r="C350" s="1" t="str">
        <f>HYPERLINK("http://продеталь.рф/search.html?article=3020019","3020019")</f>
        <v>3020019</v>
      </c>
      <c r="D350" t="s">
        <v>4</v>
      </c>
    </row>
    <row r="351" spans="1:4" outlineLevel="1" x14ac:dyDescent="0.25">
      <c r="A351" t="s">
        <v>88</v>
      </c>
      <c r="B351" t="s">
        <v>1</v>
      </c>
      <c r="C351" s="1" t="str">
        <f>HYPERLINK("http://продеталь.рф/search.html?article=AD20006A","AD20006A")</f>
        <v>AD20006A</v>
      </c>
      <c r="D351" t="s">
        <v>2</v>
      </c>
    </row>
    <row r="352" spans="1:4" outlineLevel="1" x14ac:dyDescent="0.25">
      <c r="A352" t="s">
        <v>88</v>
      </c>
      <c r="B352" t="s">
        <v>24</v>
      </c>
      <c r="C352" s="1" t="str">
        <f>HYPERLINK("http://продеталь.рф/search.html?article=AD10006BL","AD10006BL")</f>
        <v>AD10006BL</v>
      </c>
      <c r="D352" t="s">
        <v>2</v>
      </c>
    </row>
    <row r="353" spans="1:4" outlineLevel="1" x14ac:dyDescent="0.25">
      <c r="A353" t="s">
        <v>88</v>
      </c>
      <c r="B353" t="s">
        <v>24</v>
      </c>
      <c r="C353" s="1" t="str">
        <f>HYPERLINK("http://продеталь.рф/search.html?article=AD10006BR","AD10006BR")</f>
        <v>AD10006BR</v>
      </c>
      <c r="D353" t="s">
        <v>2</v>
      </c>
    </row>
    <row r="354" spans="1:4" outlineLevel="1" x14ac:dyDescent="0.25">
      <c r="A354" t="s">
        <v>88</v>
      </c>
      <c r="B354" t="s">
        <v>3</v>
      </c>
      <c r="C354" s="1" t="str">
        <f>HYPERLINK("http://продеталь.рф/search.html?article=205004082","205004082")</f>
        <v>205004082</v>
      </c>
      <c r="D354" t="s">
        <v>4</v>
      </c>
    </row>
    <row r="355" spans="1:4" outlineLevel="1" x14ac:dyDescent="0.25">
      <c r="A355" t="s">
        <v>88</v>
      </c>
      <c r="B355" t="s">
        <v>3</v>
      </c>
      <c r="C355" s="1" t="str">
        <f>HYPERLINK("http://продеталь.рф/search.html?article=205003082","205003082")</f>
        <v>205003082</v>
      </c>
      <c r="D355" t="s">
        <v>4</v>
      </c>
    </row>
    <row r="356" spans="1:4" outlineLevel="1" x14ac:dyDescent="0.25">
      <c r="A356" t="s">
        <v>88</v>
      </c>
      <c r="B356" t="s">
        <v>8</v>
      </c>
      <c r="C356" s="1" t="str">
        <f>HYPERLINK("http://продеталь.рф/search.html?article=6020002","6020002")</f>
        <v>6020002</v>
      </c>
      <c r="D356" t="s">
        <v>4</v>
      </c>
    </row>
    <row r="357" spans="1:4" outlineLevel="1" x14ac:dyDescent="0.25">
      <c r="A357" t="s">
        <v>88</v>
      </c>
      <c r="B357" t="s">
        <v>40</v>
      </c>
      <c r="C357" s="1" t="str">
        <f>HYPERLINK("http://продеталь.рф/search.html?article=AD99009GAL","AD99009GAL")</f>
        <v>AD99009GAL</v>
      </c>
      <c r="D357" t="s">
        <v>2</v>
      </c>
    </row>
    <row r="358" spans="1:4" outlineLevel="1" x14ac:dyDescent="0.25">
      <c r="A358" t="s">
        <v>88</v>
      </c>
      <c r="B358" t="s">
        <v>40</v>
      </c>
      <c r="C358" s="1" t="str">
        <f>HYPERLINK("http://продеталь.рф/search.html?article=AD99009GAR","AD99009GAR")</f>
        <v>AD99009GAR</v>
      </c>
      <c r="D358" t="s">
        <v>2</v>
      </c>
    </row>
    <row r="359" spans="1:4" outlineLevel="1" x14ac:dyDescent="0.25">
      <c r="A359" t="s">
        <v>88</v>
      </c>
      <c r="B359" t="s">
        <v>40</v>
      </c>
      <c r="C359" s="1" t="str">
        <f>HYPERLINK("http://продеталь.рф/search.html?article=PAD99008GAK","PAD99008GAK")</f>
        <v>PAD99008GAK</v>
      </c>
      <c r="D359" t="s">
        <v>6</v>
      </c>
    </row>
    <row r="360" spans="1:4" outlineLevel="1" x14ac:dyDescent="0.25">
      <c r="A360" t="s">
        <v>88</v>
      </c>
      <c r="B360" t="s">
        <v>40</v>
      </c>
      <c r="C360" s="1" t="str">
        <f>HYPERLINK("http://продеталь.рф/search.html?article=PAD99009KR","PAD99009KR")</f>
        <v>PAD99009KR</v>
      </c>
      <c r="D360" t="s">
        <v>6</v>
      </c>
    </row>
    <row r="361" spans="1:4" outlineLevel="1" x14ac:dyDescent="0.25">
      <c r="A361" t="s">
        <v>88</v>
      </c>
      <c r="B361" t="s">
        <v>40</v>
      </c>
      <c r="C361" s="1" t="str">
        <f>HYPERLINK("http://продеталь.рф/search.html?article=PAD99009KL","PAD99009KL")</f>
        <v>PAD99009KL</v>
      </c>
      <c r="D361" t="s">
        <v>6</v>
      </c>
    </row>
    <row r="362" spans="1:4" outlineLevel="1" x14ac:dyDescent="0.25">
      <c r="A362" t="s">
        <v>88</v>
      </c>
      <c r="B362" t="s">
        <v>12</v>
      </c>
      <c r="C362" s="1" t="str">
        <f>HYPERLINK("http://продеталь.рф/search.html?article=AD07006GA","AD07006GA")</f>
        <v>AD07006GA</v>
      </c>
      <c r="D362" t="s">
        <v>2</v>
      </c>
    </row>
    <row r="363" spans="1:4" outlineLevel="1" x14ac:dyDescent="0.25">
      <c r="A363" t="s">
        <v>88</v>
      </c>
      <c r="B363" t="s">
        <v>12</v>
      </c>
      <c r="C363" s="1" t="str">
        <f>HYPERLINK("http://продеталь.рф/search.html?article=PAD07006KGA","PAD07006KGA")</f>
        <v>PAD07006KGA</v>
      </c>
      <c r="D363" t="s">
        <v>6</v>
      </c>
    </row>
    <row r="364" spans="1:4" outlineLevel="1" x14ac:dyDescent="0.25">
      <c r="A364" t="s">
        <v>88</v>
      </c>
      <c r="B364" t="s">
        <v>71</v>
      </c>
      <c r="C364" s="1" t="str">
        <f>HYPERLINK("http://продеталь.рф/search.html?article=PAD02007VA","PAD02007VA")</f>
        <v>PAD02007VA</v>
      </c>
      <c r="D364" t="s">
        <v>6</v>
      </c>
    </row>
    <row r="365" spans="1:4" outlineLevel="1" x14ac:dyDescent="0.25">
      <c r="A365" t="s">
        <v>88</v>
      </c>
      <c r="B365" t="s">
        <v>16</v>
      </c>
      <c r="C365" s="1" t="str">
        <f>HYPERLINK("http://продеталь.рф/search.html?article=185266052","185266052")</f>
        <v>185266052</v>
      </c>
      <c r="D365" t="s">
        <v>4</v>
      </c>
    </row>
    <row r="366" spans="1:4" outlineLevel="1" x14ac:dyDescent="0.25">
      <c r="A366" t="s">
        <v>88</v>
      </c>
      <c r="B366" t="s">
        <v>75</v>
      </c>
      <c r="C366" s="1" t="str">
        <f>HYPERLINK("http://продеталь.рф/search.html?article=185327C1","185327C1")</f>
        <v>185327C1</v>
      </c>
      <c r="D366" t="s">
        <v>4</v>
      </c>
    </row>
    <row r="367" spans="1:4" x14ac:dyDescent="0.25">
      <c r="A367" t="s">
        <v>89</v>
      </c>
      <c r="B367" s="2" t="s">
        <v>89</v>
      </c>
      <c r="C367" s="2"/>
      <c r="D367" s="2"/>
    </row>
    <row r="368" spans="1:4" outlineLevel="1" x14ac:dyDescent="0.25">
      <c r="A368" t="s">
        <v>89</v>
      </c>
      <c r="B368" t="s">
        <v>11</v>
      </c>
      <c r="C368" s="1" t="str">
        <f>HYPERLINK("http://продеталь.рф/search.html?article=AD04011BA","AD04011BA")</f>
        <v>AD04011BA</v>
      </c>
      <c r="D368" t="s">
        <v>2</v>
      </c>
    </row>
    <row r="369" spans="1:4" outlineLevel="1" x14ac:dyDescent="0.25">
      <c r="A369" t="s">
        <v>89</v>
      </c>
      <c r="B369" t="s">
        <v>23</v>
      </c>
      <c r="C369" s="1" t="str">
        <f>HYPERLINK("http://продеталь.рф/search.html?article=ZAD1909KL","ZAD1909KL")</f>
        <v>ZAD1909KL</v>
      </c>
      <c r="D369" t="s">
        <v>6</v>
      </c>
    </row>
    <row r="370" spans="1:4" outlineLevel="1" x14ac:dyDescent="0.25">
      <c r="A370" t="s">
        <v>89</v>
      </c>
      <c r="B370" t="s">
        <v>23</v>
      </c>
      <c r="C370" s="1" t="str">
        <f>HYPERLINK("http://продеталь.рф/search.html?article=ZAD1909KR","ZAD1909KR")</f>
        <v>ZAD1909KR</v>
      </c>
      <c r="D370" t="s">
        <v>6</v>
      </c>
    </row>
    <row r="371" spans="1:4" outlineLevel="1" x14ac:dyDescent="0.25">
      <c r="A371" t="s">
        <v>89</v>
      </c>
      <c r="B371" t="s">
        <v>35</v>
      </c>
      <c r="C371" s="1" t="str">
        <f>HYPERLINK("http://продеталь.рф/search.html?article=PAD60005A","PAD60005A")</f>
        <v>PAD60005A</v>
      </c>
      <c r="D371" t="s">
        <v>6</v>
      </c>
    </row>
    <row r="372" spans="1:4" outlineLevel="1" x14ac:dyDescent="0.25">
      <c r="A372" t="s">
        <v>89</v>
      </c>
      <c r="B372" t="s">
        <v>1</v>
      </c>
      <c r="C372" s="1" t="str">
        <f>HYPERLINK("http://продеталь.рф/search.html?article=PAD20012B","PAD20012B")</f>
        <v>PAD20012B</v>
      </c>
      <c r="D372" t="s">
        <v>6</v>
      </c>
    </row>
    <row r="373" spans="1:4" outlineLevel="1" x14ac:dyDescent="0.25">
      <c r="A373" t="s">
        <v>89</v>
      </c>
      <c r="B373" t="s">
        <v>24</v>
      </c>
      <c r="C373" s="1" t="str">
        <f>HYPERLINK("http://продеталь.рф/search.html?article=PAD10009AL","PAD10009AL")</f>
        <v>PAD10009AL</v>
      </c>
      <c r="D373" t="s">
        <v>6</v>
      </c>
    </row>
    <row r="374" spans="1:4" outlineLevel="1" x14ac:dyDescent="0.25">
      <c r="A374" t="s">
        <v>89</v>
      </c>
      <c r="B374" t="s">
        <v>24</v>
      </c>
      <c r="C374" s="1" t="str">
        <f>HYPERLINK("http://продеталь.рф/search.html?article=PAD10009AR","PAD10009AR")</f>
        <v>PAD10009AR</v>
      </c>
      <c r="D374" t="s">
        <v>6</v>
      </c>
    </row>
    <row r="375" spans="1:4" outlineLevel="1" x14ac:dyDescent="0.25">
      <c r="A375" t="s">
        <v>89</v>
      </c>
      <c r="B375" t="s">
        <v>24</v>
      </c>
      <c r="C375" s="1" t="str">
        <f>HYPERLINK("http://продеталь.рф/search.html?article=PAD10014KAL","PAD10014KAL")</f>
        <v>PAD10014KAL</v>
      </c>
      <c r="D375" t="s">
        <v>6</v>
      </c>
    </row>
    <row r="376" spans="1:4" outlineLevel="1" x14ac:dyDescent="0.25">
      <c r="A376" t="s">
        <v>89</v>
      </c>
      <c r="B376" t="s">
        <v>24</v>
      </c>
      <c r="C376" s="1" t="str">
        <f>HYPERLINK("http://продеталь.рф/search.html?article=PAD10014KAR","PAD10014KAR")</f>
        <v>PAD10014KAR</v>
      </c>
      <c r="D376" t="s">
        <v>6</v>
      </c>
    </row>
    <row r="377" spans="1:4" outlineLevel="1" x14ac:dyDescent="0.25">
      <c r="A377" t="s">
        <v>89</v>
      </c>
      <c r="B377" t="s">
        <v>66</v>
      </c>
      <c r="C377" s="1" t="str">
        <f>HYPERLINK("http://продеталь.рф/search.html?article=BK011","BK011")</f>
        <v>BK011</v>
      </c>
      <c r="D377" t="s">
        <v>6</v>
      </c>
    </row>
    <row r="378" spans="1:4" outlineLevel="1" x14ac:dyDescent="0.25">
      <c r="A378" t="s">
        <v>89</v>
      </c>
      <c r="B378" t="s">
        <v>50</v>
      </c>
      <c r="C378" s="1" t="str">
        <f>HYPERLINK("http://продеталь.рф/search.html?article=PAD073208KL","PAD073208KL")</f>
        <v>PAD073208KL</v>
      </c>
      <c r="D378" t="s">
        <v>6</v>
      </c>
    </row>
    <row r="379" spans="1:4" outlineLevel="1" x14ac:dyDescent="0.25">
      <c r="A379" t="s">
        <v>89</v>
      </c>
      <c r="B379" t="s">
        <v>50</v>
      </c>
      <c r="C379" s="1" t="str">
        <f>HYPERLINK("http://продеталь.рф/search.html?article=PAD073208KR","PAD073208KR")</f>
        <v>PAD073208KR</v>
      </c>
      <c r="D379" t="s">
        <v>6</v>
      </c>
    </row>
    <row r="380" spans="1:4" outlineLevel="1" x14ac:dyDescent="0.25">
      <c r="A380" t="s">
        <v>89</v>
      </c>
      <c r="B380" t="s">
        <v>50</v>
      </c>
      <c r="C380" s="1" t="str">
        <f>HYPERLINK("http://продеталь.рф/search.html?article=PAD99018KMAL","PAD99018KMAL")</f>
        <v>PAD99018KMAL</v>
      </c>
      <c r="D380" t="s">
        <v>6</v>
      </c>
    </row>
    <row r="381" spans="1:4" outlineLevel="1" x14ac:dyDescent="0.25">
      <c r="A381" t="s">
        <v>89</v>
      </c>
      <c r="B381" t="s">
        <v>50</v>
      </c>
      <c r="C381" s="1" t="str">
        <f>HYPERLINK("http://продеталь.рф/search.html?article=PAD99018KMAR","PAD99018KMAR")</f>
        <v>PAD99018KMAR</v>
      </c>
      <c r="D381" t="s">
        <v>6</v>
      </c>
    </row>
    <row r="382" spans="1:4" outlineLevel="1" x14ac:dyDescent="0.25">
      <c r="A382" t="s">
        <v>89</v>
      </c>
      <c r="B382" t="s">
        <v>37</v>
      </c>
      <c r="C382" s="1" t="str">
        <f>HYPERLINK("http://продеталь.рф/search.html?article=1704252","1704252")</f>
        <v>1704252</v>
      </c>
      <c r="D382" t="s">
        <v>58</v>
      </c>
    </row>
    <row r="383" spans="1:4" outlineLevel="1" x14ac:dyDescent="0.25">
      <c r="A383" t="s">
        <v>89</v>
      </c>
      <c r="B383" t="s">
        <v>37</v>
      </c>
      <c r="C383" s="1" t="str">
        <f>HYPERLINK("http://продеталь.рф/search.html?article=PAD88003AL","PAD88003AL")</f>
        <v>PAD88003AL</v>
      </c>
      <c r="D383" t="s">
        <v>6</v>
      </c>
    </row>
    <row r="384" spans="1:4" outlineLevel="1" x14ac:dyDescent="0.25">
      <c r="A384" t="s">
        <v>89</v>
      </c>
      <c r="B384" t="s">
        <v>37</v>
      </c>
      <c r="C384" s="1" t="str">
        <f>HYPERLINK("http://продеталь.рф/search.html?article=PAD88003AR","PAD88003AR")</f>
        <v>PAD88003AR</v>
      </c>
      <c r="D384" t="s">
        <v>6</v>
      </c>
    </row>
    <row r="385" spans="1:4" outlineLevel="1" x14ac:dyDescent="0.25">
      <c r="A385" t="s">
        <v>89</v>
      </c>
      <c r="B385" t="s">
        <v>37</v>
      </c>
      <c r="C385" s="1" t="str">
        <f>HYPERLINK("http://продеталь.рф/search.html?article=PAD88003BL","PAD88003BL")</f>
        <v>PAD88003BL</v>
      </c>
      <c r="D385" t="s">
        <v>6</v>
      </c>
    </row>
    <row r="386" spans="1:4" outlineLevel="1" x14ac:dyDescent="0.25">
      <c r="A386" t="s">
        <v>89</v>
      </c>
      <c r="B386" t="s">
        <v>37</v>
      </c>
      <c r="C386" s="1" t="str">
        <f>HYPERLINK("http://продеталь.рф/search.html?article=PAD88003BR","PAD88003BR")</f>
        <v>PAD88003BR</v>
      </c>
      <c r="D386" t="s">
        <v>6</v>
      </c>
    </row>
    <row r="387" spans="1:4" outlineLevel="1" x14ac:dyDescent="0.25">
      <c r="A387" t="s">
        <v>89</v>
      </c>
      <c r="B387" t="s">
        <v>27</v>
      </c>
      <c r="C387" s="1" t="str">
        <f>HYPERLINK("http://продеталь.рф/search.html?article=PAD30007KA","PAD30007KA")</f>
        <v>PAD30007KA</v>
      </c>
      <c r="D387" t="s">
        <v>6</v>
      </c>
    </row>
    <row r="388" spans="1:4" outlineLevel="1" x14ac:dyDescent="0.25">
      <c r="A388" t="s">
        <v>89</v>
      </c>
      <c r="B388" t="s">
        <v>3</v>
      </c>
      <c r="C388" s="1" t="str">
        <f>HYPERLINK("http://продеталь.рф/search.html?article=205378082","205378082")</f>
        <v>205378082</v>
      </c>
      <c r="D388" t="s">
        <v>4</v>
      </c>
    </row>
    <row r="389" spans="1:4" outlineLevel="1" x14ac:dyDescent="0.25">
      <c r="A389" t="s">
        <v>89</v>
      </c>
      <c r="B389" t="s">
        <v>3</v>
      </c>
      <c r="C389" s="1" t="str">
        <f>HYPERLINK("http://продеталь.рф/search.html?article=20A406052","20A406052")</f>
        <v>20A406052</v>
      </c>
      <c r="D389" t="s">
        <v>4</v>
      </c>
    </row>
    <row r="390" spans="1:4" outlineLevel="1" x14ac:dyDescent="0.25">
      <c r="A390" t="s">
        <v>89</v>
      </c>
      <c r="B390" t="s">
        <v>3</v>
      </c>
      <c r="C390" s="1" t="str">
        <f>HYPERLINK("http://продеталь.рф/search.html?article=20A405052","20A405052")</f>
        <v>20A405052</v>
      </c>
      <c r="D390" t="s">
        <v>4</v>
      </c>
    </row>
    <row r="391" spans="1:4" outlineLevel="1" x14ac:dyDescent="0.25">
      <c r="A391" t="s">
        <v>89</v>
      </c>
      <c r="B391" t="s">
        <v>5</v>
      </c>
      <c r="C391" s="1" t="str">
        <f>HYPERLINK("http://продеталь.рф/search.html?article=210129","210129")</f>
        <v>210129</v>
      </c>
      <c r="D391" t="s">
        <v>21</v>
      </c>
    </row>
    <row r="392" spans="1:4" outlineLevel="1" x14ac:dyDescent="0.25">
      <c r="A392" t="s">
        <v>89</v>
      </c>
      <c r="B392" t="s">
        <v>52</v>
      </c>
      <c r="C392" s="1" t="str">
        <f>HYPERLINK("http://продеталь.рф/search.html?article=RG1355","RG1355")</f>
        <v>RG1355</v>
      </c>
      <c r="D392" t="s">
        <v>53</v>
      </c>
    </row>
    <row r="393" spans="1:4" outlineLevel="1" x14ac:dyDescent="0.25">
      <c r="A393" t="s">
        <v>89</v>
      </c>
      <c r="B393" t="s">
        <v>52</v>
      </c>
      <c r="C393" s="1" t="str">
        <f>HYPERLINK("http://продеталь.рф/search.html?article=RG1356","RG1356")</f>
        <v>RG1356</v>
      </c>
      <c r="D393" t="s">
        <v>53</v>
      </c>
    </row>
    <row r="394" spans="1:4" outlineLevel="1" x14ac:dyDescent="0.25">
      <c r="A394" t="s">
        <v>89</v>
      </c>
      <c r="B394" t="s">
        <v>19</v>
      </c>
      <c r="C394" s="1" t="str">
        <f>HYPERLINK("http://продеталь.рф/search.html?article=195084052","195084052")</f>
        <v>195084052</v>
      </c>
      <c r="D394" t="s">
        <v>4</v>
      </c>
    </row>
    <row r="395" spans="1:4" outlineLevel="1" x14ac:dyDescent="0.25">
      <c r="A395" t="s">
        <v>89</v>
      </c>
      <c r="B395" t="s">
        <v>19</v>
      </c>
      <c r="C395" s="1" t="str">
        <f>HYPERLINK("http://продеталь.рф/search.html?article=195083052","195083052")</f>
        <v>195083052</v>
      </c>
      <c r="D395" t="s">
        <v>4</v>
      </c>
    </row>
    <row r="396" spans="1:4" outlineLevel="1" x14ac:dyDescent="0.25">
      <c r="A396" t="s">
        <v>89</v>
      </c>
      <c r="B396" t="s">
        <v>19</v>
      </c>
      <c r="C396" s="1" t="str">
        <f>HYPERLINK("http://продеталь.рф/search.html?article=ZAD2014KL","ZAD2014KL")</f>
        <v>ZAD2014KL</v>
      </c>
      <c r="D396" t="s">
        <v>6</v>
      </c>
    </row>
    <row r="397" spans="1:4" outlineLevel="1" x14ac:dyDescent="0.25">
      <c r="A397" t="s">
        <v>89</v>
      </c>
      <c r="B397" t="s">
        <v>19</v>
      </c>
      <c r="C397" s="1" t="str">
        <f>HYPERLINK("http://продеталь.рф/search.html?article=ZAD2014KR","ZAD2014KR")</f>
        <v>ZAD2014KR</v>
      </c>
      <c r="D397" t="s">
        <v>6</v>
      </c>
    </row>
    <row r="398" spans="1:4" outlineLevel="1" x14ac:dyDescent="0.25">
      <c r="A398" t="s">
        <v>89</v>
      </c>
      <c r="B398" t="s">
        <v>19</v>
      </c>
      <c r="C398" s="1" t="str">
        <f>HYPERLINK("http://продеталь.рф/search.html?article=190212001","190212001")</f>
        <v>190212001</v>
      </c>
      <c r="D398" t="s">
        <v>4</v>
      </c>
    </row>
    <row r="399" spans="1:4" outlineLevel="1" x14ac:dyDescent="0.25">
      <c r="A399" t="s">
        <v>89</v>
      </c>
      <c r="B399" t="s">
        <v>19</v>
      </c>
      <c r="C399" s="1" t="str">
        <f>HYPERLINK("http://продеталь.рф/search.html?article=ZAD2018R","ZAD2018R")</f>
        <v>ZAD2018R</v>
      </c>
      <c r="D399" t="s">
        <v>6</v>
      </c>
    </row>
    <row r="400" spans="1:4" outlineLevel="1" x14ac:dyDescent="0.25">
      <c r="A400" t="s">
        <v>89</v>
      </c>
      <c r="B400" t="s">
        <v>8</v>
      </c>
      <c r="C400" s="1" t="str">
        <f>HYPERLINK("http://продеталь.рф/search.html?article=AU14394A0","AU14394A0")</f>
        <v>AU14394A0</v>
      </c>
      <c r="D400" t="s">
        <v>9</v>
      </c>
    </row>
    <row r="401" spans="1:4" outlineLevel="1" x14ac:dyDescent="0.25">
      <c r="A401" t="s">
        <v>89</v>
      </c>
      <c r="B401" t="s">
        <v>8</v>
      </c>
      <c r="C401" s="1" t="str">
        <f>HYPERLINK("http://продеталь.рф/search.html?article=RC94593","RC94593")</f>
        <v>RC94593</v>
      </c>
      <c r="D401" t="s">
        <v>6</v>
      </c>
    </row>
    <row r="402" spans="1:4" outlineLevel="1" x14ac:dyDescent="0.25">
      <c r="A402" t="s">
        <v>89</v>
      </c>
      <c r="B402" t="s">
        <v>39</v>
      </c>
      <c r="C402" s="1" t="str">
        <f>HYPERLINK("http://продеталь.рф/search.html?article=AFV126","AFV126")</f>
        <v>AFV126</v>
      </c>
      <c r="D402" t="s">
        <v>6</v>
      </c>
    </row>
    <row r="403" spans="1:4" outlineLevel="1" x14ac:dyDescent="0.25">
      <c r="A403" t="s">
        <v>89</v>
      </c>
      <c r="B403" t="s">
        <v>40</v>
      </c>
      <c r="C403" s="1" t="str">
        <f>HYPERLINK("http://продеталь.рф/search.html?article=AD99012GA","AD99012GA")</f>
        <v>AD99012GA</v>
      </c>
      <c r="D403" t="s">
        <v>2</v>
      </c>
    </row>
    <row r="404" spans="1:4" outlineLevel="1" x14ac:dyDescent="0.25">
      <c r="A404" t="s">
        <v>89</v>
      </c>
      <c r="B404" t="s">
        <v>40</v>
      </c>
      <c r="C404" s="1" t="str">
        <f>HYPERLINK("http://продеталь.рф/search.html?article=AD99013GAL","AD99013GAL")</f>
        <v>AD99013GAL</v>
      </c>
      <c r="D404" t="s">
        <v>2</v>
      </c>
    </row>
    <row r="405" spans="1:4" outlineLevel="1" x14ac:dyDescent="0.25">
      <c r="A405" t="s">
        <v>89</v>
      </c>
      <c r="B405" t="s">
        <v>40</v>
      </c>
      <c r="C405" s="1" t="str">
        <f>HYPERLINK("http://продеталь.рф/search.html?article=AD99013GAR","AD99013GAR")</f>
        <v>AD99013GAR</v>
      </c>
      <c r="D405" t="s">
        <v>2</v>
      </c>
    </row>
    <row r="406" spans="1:4" outlineLevel="1" x14ac:dyDescent="0.25">
      <c r="A406" t="s">
        <v>89</v>
      </c>
      <c r="B406" t="s">
        <v>40</v>
      </c>
      <c r="C406" s="1" t="str">
        <f>HYPERLINK("http://продеталь.рф/search.html?article=PAD99018KGA","PAD99018KGA")</f>
        <v>PAD99018KGA</v>
      </c>
      <c r="D406" t="s">
        <v>6</v>
      </c>
    </row>
    <row r="407" spans="1:4" outlineLevel="1" x14ac:dyDescent="0.25">
      <c r="A407" t="s">
        <v>89</v>
      </c>
      <c r="B407" t="s">
        <v>40</v>
      </c>
      <c r="C407" s="1" t="str">
        <f>HYPERLINK("http://продеталь.рф/search.html?article=1327275","1327275")</f>
        <v>1327275</v>
      </c>
      <c r="D407" t="s">
        <v>81</v>
      </c>
    </row>
    <row r="408" spans="1:4" outlineLevel="1" x14ac:dyDescent="0.25">
      <c r="A408" t="s">
        <v>89</v>
      </c>
      <c r="B408" t="s">
        <v>12</v>
      </c>
      <c r="C408" s="1" t="str">
        <f>HYPERLINK("http://продеталь.рф/search.html?article=PAD07009GK","PAD07009GK")</f>
        <v>PAD07009GK</v>
      </c>
      <c r="D408" t="s">
        <v>6</v>
      </c>
    </row>
    <row r="409" spans="1:4" outlineLevel="1" x14ac:dyDescent="0.25">
      <c r="A409" t="s">
        <v>89</v>
      </c>
      <c r="B409" t="s">
        <v>32</v>
      </c>
      <c r="C409" s="1" t="str">
        <f>HYPERLINK("http://продеталь.рф/search.html?article=30200241","30200241")</f>
        <v>30200241</v>
      </c>
      <c r="D409" t="s">
        <v>4</v>
      </c>
    </row>
    <row r="410" spans="1:4" outlineLevel="1" x14ac:dyDescent="0.25">
      <c r="A410" t="s">
        <v>89</v>
      </c>
      <c r="B410" t="s">
        <v>32</v>
      </c>
      <c r="C410" s="1" t="str">
        <f>HYPERLINK("http://продеталь.рф/search.html?article=30200231","30200231")</f>
        <v>30200231</v>
      </c>
      <c r="D410" t="s">
        <v>4</v>
      </c>
    </row>
    <row r="411" spans="1:4" outlineLevel="1" x14ac:dyDescent="0.25">
      <c r="A411" t="s">
        <v>89</v>
      </c>
      <c r="B411" t="s">
        <v>75</v>
      </c>
      <c r="C411" s="1" t="str">
        <f>HYPERLINK("http://продеталь.рф/search.html?article=185231052","185231052")</f>
        <v>185231052</v>
      </c>
      <c r="D411" t="s">
        <v>4</v>
      </c>
    </row>
    <row r="412" spans="1:4" outlineLevel="1" x14ac:dyDescent="0.25">
      <c r="A412" t="s">
        <v>89</v>
      </c>
      <c r="B412" t="s">
        <v>75</v>
      </c>
      <c r="C412" s="1" t="str">
        <f>HYPERLINK("http://продеталь.рф/search.html?article=1803350420","1803350420")</f>
        <v>1803350420</v>
      </c>
      <c r="D412" t="s">
        <v>4</v>
      </c>
    </row>
    <row r="413" spans="1:4" outlineLevel="1" x14ac:dyDescent="0.25">
      <c r="A413" t="s">
        <v>89</v>
      </c>
      <c r="B413" t="s">
        <v>13</v>
      </c>
      <c r="C413" s="1" t="str">
        <f>HYPERLINK("http://продеталь.рф/search.html?article=AD44006A","AD44006A")</f>
        <v>AD44006A</v>
      </c>
      <c r="D413" t="s">
        <v>2</v>
      </c>
    </row>
    <row r="414" spans="1:4" outlineLevel="1" x14ac:dyDescent="0.25">
      <c r="A414" t="s">
        <v>89</v>
      </c>
      <c r="B414" t="s">
        <v>90</v>
      </c>
      <c r="C414" s="1" t="str">
        <f>HYPERLINK("http://продеталь.рф/search.html?article=185231SYN","185231SYN")</f>
        <v>185231SYN</v>
      </c>
      <c r="D414" t="s">
        <v>4</v>
      </c>
    </row>
    <row r="415" spans="1:4" x14ac:dyDescent="0.25">
      <c r="A415" t="s">
        <v>91</v>
      </c>
      <c r="B415" s="2" t="s">
        <v>91</v>
      </c>
      <c r="C415" s="2"/>
      <c r="D415" s="2"/>
    </row>
    <row r="416" spans="1:4" outlineLevel="1" x14ac:dyDescent="0.25">
      <c r="A416" t="s">
        <v>91</v>
      </c>
      <c r="B416" t="s">
        <v>11</v>
      </c>
      <c r="C416" s="1" t="str">
        <f>HYPERLINK("http://продеталь.рф/search.html?article=GD6629D","GD6629D")</f>
        <v>GD6629D</v>
      </c>
      <c r="D416" t="s">
        <v>2</v>
      </c>
    </row>
    <row r="417" spans="1:4" outlineLevel="1" x14ac:dyDescent="0.25">
      <c r="A417" t="s">
        <v>91</v>
      </c>
      <c r="B417" t="s">
        <v>15</v>
      </c>
      <c r="C417" s="1" t="str">
        <f>HYPERLINK("http://продеталь.рф/search.html?article=3020043","3020043")</f>
        <v>3020043</v>
      </c>
      <c r="D417" t="s">
        <v>4</v>
      </c>
    </row>
    <row r="418" spans="1:4" outlineLevel="1" x14ac:dyDescent="0.25">
      <c r="A418" t="s">
        <v>91</v>
      </c>
      <c r="B418" t="s">
        <v>35</v>
      </c>
      <c r="C418" s="1" t="str">
        <f>HYPERLINK("http://продеталь.рф/search.html?article=310111","310111")</f>
        <v>310111</v>
      </c>
      <c r="D418" t="s">
        <v>21</v>
      </c>
    </row>
    <row r="419" spans="1:4" outlineLevel="1" x14ac:dyDescent="0.25">
      <c r="A419" t="s">
        <v>91</v>
      </c>
      <c r="B419" t="s">
        <v>84</v>
      </c>
      <c r="C419" s="1" t="str">
        <f>HYPERLINK("http://продеталь.рф/search.html?article=PAD44067AL","PAD44067AL")</f>
        <v>PAD44067AL</v>
      </c>
      <c r="D419" t="s">
        <v>6</v>
      </c>
    </row>
    <row r="420" spans="1:4" outlineLevel="1" x14ac:dyDescent="0.25">
      <c r="A420" t="s">
        <v>91</v>
      </c>
      <c r="B420" t="s">
        <v>84</v>
      </c>
      <c r="C420" s="1" t="str">
        <f>HYPERLINK("http://продеталь.рф/search.html?article=PAD44067AR","PAD44067AR")</f>
        <v>PAD44067AR</v>
      </c>
      <c r="D420" t="s">
        <v>6</v>
      </c>
    </row>
    <row r="421" spans="1:4" outlineLevel="1" x14ac:dyDescent="0.25">
      <c r="A421" t="s">
        <v>91</v>
      </c>
      <c r="B421" t="s">
        <v>24</v>
      </c>
      <c r="C421" s="1" t="str">
        <f>HYPERLINK("http://продеталь.рф/search.html?article=AU15001601R00","AU15001601R00")</f>
        <v>AU15001601R00</v>
      </c>
      <c r="D421" t="s">
        <v>9</v>
      </c>
    </row>
    <row r="422" spans="1:4" outlineLevel="1" x14ac:dyDescent="0.25">
      <c r="A422" t="s">
        <v>91</v>
      </c>
      <c r="B422" t="s">
        <v>92</v>
      </c>
      <c r="C422" s="1" t="str">
        <f>HYPERLINK("http://продеталь.рф/search.html?article=AU150000M0L00","AU150000M0L00")</f>
        <v>AU150000M0L00</v>
      </c>
      <c r="D422" t="s">
        <v>9</v>
      </c>
    </row>
    <row r="423" spans="1:4" outlineLevel="1" x14ac:dyDescent="0.25">
      <c r="A423" t="s">
        <v>91</v>
      </c>
      <c r="B423" t="s">
        <v>27</v>
      </c>
      <c r="C423" s="1" t="str">
        <f>HYPERLINK("http://продеталь.рф/search.html?article=PAD30010A","PAD30010A")</f>
        <v>PAD30010A</v>
      </c>
      <c r="D423" t="s">
        <v>6</v>
      </c>
    </row>
    <row r="424" spans="1:4" outlineLevel="1" x14ac:dyDescent="0.25">
      <c r="A424" t="s">
        <v>91</v>
      </c>
      <c r="B424" t="s">
        <v>3</v>
      </c>
      <c r="C424" s="1" t="str">
        <f>HYPERLINK("http://продеталь.рф/search.html?article=200685052","200685052")</f>
        <v>200685052</v>
      </c>
      <c r="D424" t="s">
        <v>4</v>
      </c>
    </row>
    <row r="425" spans="1:4" outlineLevel="1" x14ac:dyDescent="0.25">
      <c r="A425" t="s">
        <v>91</v>
      </c>
      <c r="B425" t="s">
        <v>3</v>
      </c>
      <c r="C425" s="1" t="str">
        <f>HYPERLINK("http://продеталь.рф/search.html?article=200686052","200686052")</f>
        <v>200686052</v>
      </c>
      <c r="D425" t="s">
        <v>4</v>
      </c>
    </row>
    <row r="426" spans="1:4" outlineLevel="1" x14ac:dyDescent="0.25">
      <c r="A426" t="s">
        <v>91</v>
      </c>
      <c r="B426" t="s">
        <v>3</v>
      </c>
      <c r="C426" s="1" t="str">
        <f>HYPERLINK("http://продеталь.рф/search.html?article=20C027052B","20C027052B")</f>
        <v>20C027052B</v>
      </c>
      <c r="D426" t="s">
        <v>4</v>
      </c>
    </row>
    <row r="427" spans="1:4" outlineLevel="1" x14ac:dyDescent="0.25">
      <c r="A427" t="s">
        <v>91</v>
      </c>
      <c r="B427" t="s">
        <v>3</v>
      </c>
      <c r="C427" s="1" t="str">
        <f>HYPERLINK("http://продеталь.рф/search.html?article=20C028052B","20C028052B")</f>
        <v>20C028052B</v>
      </c>
      <c r="D427" t="s">
        <v>4</v>
      </c>
    </row>
    <row r="428" spans="1:4" outlineLevel="1" x14ac:dyDescent="0.25">
      <c r="A428" t="s">
        <v>91</v>
      </c>
      <c r="B428" t="s">
        <v>5</v>
      </c>
      <c r="C428" s="1" t="str">
        <f>HYPERLINK("http://продеталь.рф/search.html?article=PAD11017AL","PAD11017AL")</f>
        <v>PAD11017AL</v>
      </c>
      <c r="D428" t="s">
        <v>6</v>
      </c>
    </row>
    <row r="429" spans="1:4" outlineLevel="1" x14ac:dyDescent="0.25">
      <c r="A429" t="s">
        <v>91</v>
      </c>
      <c r="B429" t="s">
        <v>5</v>
      </c>
      <c r="C429" s="1" t="str">
        <f>HYPERLINK("http://продеталь.рф/search.html?article=PAD11017AR","PAD11017AR")</f>
        <v>PAD11017AR</v>
      </c>
      <c r="D429" t="s">
        <v>6</v>
      </c>
    </row>
    <row r="430" spans="1:4" outlineLevel="1" x14ac:dyDescent="0.25">
      <c r="A430" t="s">
        <v>91</v>
      </c>
      <c r="B430" t="s">
        <v>19</v>
      </c>
      <c r="C430" s="1" t="str">
        <f>HYPERLINK("http://продеталь.рф/search.html?article=19A866019B","19A866019B")</f>
        <v>19A866019B</v>
      </c>
      <c r="D430" t="s">
        <v>4</v>
      </c>
    </row>
    <row r="431" spans="1:4" outlineLevel="1" x14ac:dyDescent="0.25">
      <c r="A431" t="s">
        <v>91</v>
      </c>
      <c r="B431" t="s">
        <v>28</v>
      </c>
      <c r="C431" s="1" t="str">
        <f>HYPERLINK("http://продеталь.рф/search.html?article=RA60234A","RA60234A")</f>
        <v>RA60234A</v>
      </c>
      <c r="D431" t="s">
        <v>6</v>
      </c>
    </row>
    <row r="432" spans="1:4" outlineLevel="1" x14ac:dyDescent="0.25">
      <c r="A432" t="s">
        <v>91</v>
      </c>
      <c r="B432" t="s">
        <v>40</v>
      </c>
      <c r="C432" s="1" t="str">
        <f>HYPERLINK("http://продеталь.рф/search.html?article=AD99017CAL","AD99017CAL")</f>
        <v>AD99017CAL</v>
      </c>
      <c r="D432" t="s">
        <v>2</v>
      </c>
    </row>
    <row r="433" spans="1:4" outlineLevel="1" x14ac:dyDescent="0.25">
      <c r="A433" t="s">
        <v>91</v>
      </c>
      <c r="B433" t="s">
        <v>40</v>
      </c>
      <c r="C433" s="1" t="str">
        <f>HYPERLINK("http://продеталь.рф/search.html?article=AD99017CAR","AD99017CAR")</f>
        <v>AD99017CAR</v>
      </c>
      <c r="D433" t="s">
        <v>2</v>
      </c>
    </row>
    <row r="434" spans="1:4" outlineLevel="1" x14ac:dyDescent="0.25">
      <c r="A434" t="s">
        <v>91</v>
      </c>
      <c r="B434" t="s">
        <v>13</v>
      </c>
      <c r="C434" s="1" t="str">
        <f>HYPERLINK("http://продеталь.рф/search.html?article=AD44011A","AD44011A")</f>
        <v>AD44011A</v>
      </c>
      <c r="D434" t="s">
        <v>2</v>
      </c>
    </row>
    <row r="435" spans="1:4" x14ac:dyDescent="0.25">
      <c r="A435" t="s">
        <v>93</v>
      </c>
      <c r="B435" s="2" t="s">
        <v>93</v>
      </c>
      <c r="C435" s="2"/>
      <c r="D435" s="2"/>
    </row>
    <row r="436" spans="1:4" outlineLevel="1" x14ac:dyDescent="0.25">
      <c r="A436" t="s">
        <v>93</v>
      </c>
      <c r="B436" t="s">
        <v>35</v>
      </c>
      <c r="C436" s="1" t="str">
        <f>HYPERLINK("http://продеталь.рф/search.html?article=310110","310110")</f>
        <v>310110</v>
      </c>
      <c r="D436" t="s">
        <v>21</v>
      </c>
    </row>
    <row r="437" spans="1:4" outlineLevel="1" x14ac:dyDescent="0.25">
      <c r="A437" t="s">
        <v>93</v>
      </c>
      <c r="B437" t="s">
        <v>5</v>
      </c>
      <c r="C437" s="1" t="str">
        <f>HYPERLINK("http://продеталь.рф/search.html?article=210133A","210133A")</f>
        <v>210133A</v>
      </c>
      <c r="D437" t="s">
        <v>21</v>
      </c>
    </row>
    <row r="438" spans="1:4" outlineLevel="1" x14ac:dyDescent="0.25">
      <c r="A438" t="s">
        <v>93</v>
      </c>
      <c r="B438" t="s">
        <v>5</v>
      </c>
      <c r="C438" s="1" t="str">
        <f>HYPERLINK("http://продеталь.рф/search.html?article=210134A","210134A")</f>
        <v>210134A</v>
      </c>
      <c r="D438" t="s">
        <v>21</v>
      </c>
    </row>
    <row r="439" spans="1:4" outlineLevel="1" x14ac:dyDescent="0.25">
      <c r="A439" t="s">
        <v>93</v>
      </c>
      <c r="B439" t="s">
        <v>40</v>
      </c>
      <c r="C439" s="1" t="str">
        <f>HYPERLINK("http://продеталь.рф/search.html?article=PAD99016AL","PAD99016AL")</f>
        <v>PAD99016AL</v>
      </c>
      <c r="D439" t="s">
        <v>6</v>
      </c>
    </row>
    <row r="440" spans="1:4" outlineLevel="1" x14ac:dyDescent="0.25">
      <c r="A440" t="s">
        <v>93</v>
      </c>
      <c r="B440" t="s">
        <v>41</v>
      </c>
      <c r="C440" s="1" t="str">
        <f>HYPERLINK("http://продеталь.рф/search.html?article=711305621607","711305621607")</f>
        <v>711305621607</v>
      </c>
      <c r="D440" t="s">
        <v>56</v>
      </c>
    </row>
    <row r="441" spans="1:4" outlineLevel="1" x14ac:dyDescent="0.25">
      <c r="A441" t="s">
        <v>93</v>
      </c>
      <c r="B441" t="s">
        <v>41</v>
      </c>
      <c r="C441" s="1" t="str">
        <f>HYPERLINK("http://продеталь.рф/search.html?article=711305621608","711305621608")</f>
        <v>711305621608</v>
      </c>
      <c r="D441" t="s">
        <v>56</v>
      </c>
    </row>
    <row r="442" spans="1:4" x14ac:dyDescent="0.25">
      <c r="A442" t="s">
        <v>94</v>
      </c>
      <c r="B442" s="2" t="s">
        <v>94</v>
      </c>
      <c r="C442" s="2"/>
      <c r="D442" s="2"/>
    </row>
    <row r="443" spans="1:4" outlineLevel="1" x14ac:dyDescent="0.25">
      <c r="A443" t="s">
        <v>94</v>
      </c>
      <c r="B443" t="s">
        <v>66</v>
      </c>
      <c r="C443" s="1" t="str">
        <f>HYPERLINK("http://продеталь.рф/search.html?article=BK070","BK070")</f>
        <v>BK070</v>
      </c>
      <c r="D443" t="s">
        <v>6</v>
      </c>
    </row>
    <row r="444" spans="1:4" x14ac:dyDescent="0.25">
      <c r="A444" t="s">
        <v>95</v>
      </c>
      <c r="B444" s="2" t="s">
        <v>95</v>
      </c>
      <c r="C444" s="2"/>
      <c r="D444" s="2"/>
    </row>
    <row r="445" spans="1:4" outlineLevel="1" x14ac:dyDescent="0.25">
      <c r="A445" t="s">
        <v>95</v>
      </c>
      <c r="B445" t="s">
        <v>5</v>
      </c>
      <c r="C445" s="1" t="str">
        <f>HYPERLINK("http://продеталь.рф/search.html?article=AU370016L0R00","AU370016L0R00")</f>
        <v>AU370016L0R00</v>
      </c>
      <c r="D445" t="s">
        <v>9</v>
      </c>
    </row>
    <row r="446" spans="1:4" outlineLevel="1" x14ac:dyDescent="0.25">
      <c r="A446" t="s">
        <v>95</v>
      </c>
      <c r="B446" t="s">
        <v>32</v>
      </c>
      <c r="C446" s="1" t="str">
        <f>HYPERLINK("http://продеталь.рф/search.html?article=ADM1015AGRE","ADM1015AGRE")</f>
        <v>ADM1015AGRE</v>
      </c>
      <c r="D446" t="s">
        <v>2</v>
      </c>
    </row>
    <row r="447" spans="1:4" x14ac:dyDescent="0.25">
      <c r="A447" t="s">
        <v>96</v>
      </c>
      <c r="B447" s="2" t="s">
        <v>96</v>
      </c>
      <c r="C447" s="2"/>
      <c r="D447" s="2"/>
    </row>
    <row r="448" spans="1:4" outlineLevel="1" x14ac:dyDescent="0.25">
      <c r="A448" t="s">
        <v>96</v>
      </c>
      <c r="B448" t="s">
        <v>5</v>
      </c>
      <c r="C448" s="1" t="str">
        <f>HYPERLINK("http://продеталь.рф/search.html?article=PAD11022BL","PAD11022BL")</f>
        <v>PAD11022BL</v>
      </c>
      <c r="D448" t="s">
        <v>6</v>
      </c>
    </row>
    <row r="449" spans="1:4" outlineLevel="1" x14ac:dyDescent="0.25">
      <c r="A449" t="s">
        <v>96</v>
      </c>
      <c r="B449" t="s">
        <v>5</v>
      </c>
      <c r="C449" s="1" t="str">
        <f>HYPERLINK("http://продеталь.рф/search.html?article=PAD11022BR","PAD11022BR")</f>
        <v>PAD11022BR</v>
      </c>
      <c r="D449" t="s">
        <v>6</v>
      </c>
    </row>
    <row r="450" spans="1:4" x14ac:dyDescent="0.25">
      <c r="A450" t="s">
        <v>97</v>
      </c>
      <c r="B450" s="2" t="s">
        <v>97</v>
      </c>
      <c r="C450" s="2"/>
      <c r="D450" s="2"/>
    </row>
    <row r="451" spans="1:4" outlineLevel="1" x14ac:dyDescent="0.25">
      <c r="A451" t="s">
        <v>97</v>
      </c>
      <c r="B451" t="s">
        <v>26</v>
      </c>
      <c r="C451" s="1" t="str">
        <f>HYPERLINK("http://продеталь.рф/search.html?article=BM04025MARN","BM04025MARN")</f>
        <v>BM04025MARN</v>
      </c>
      <c r="D451" t="s">
        <v>2</v>
      </c>
    </row>
    <row r="452" spans="1:4" outlineLevel="1" x14ac:dyDescent="0.25">
      <c r="A452" t="s">
        <v>97</v>
      </c>
      <c r="B452" t="s">
        <v>26</v>
      </c>
      <c r="C452" s="1" t="str">
        <f>HYPERLINK("http://продеталь.рф/search.html?article=BM04025MALN","BM04025MALN")</f>
        <v>BM04025MALN</v>
      </c>
      <c r="D452" t="s">
        <v>2</v>
      </c>
    </row>
    <row r="453" spans="1:4" outlineLevel="1" x14ac:dyDescent="0.25">
      <c r="A453" t="s">
        <v>97</v>
      </c>
      <c r="B453" t="s">
        <v>27</v>
      </c>
      <c r="C453" s="1" t="str">
        <f>HYPERLINK("http://продеталь.рф/search.html?article=BM10000900000","BM10000900000")</f>
        <v>BM10000900000</v>
      </c>
      <c r="D453" t="s">
        <v>9</v>
      </c>
    </row>
    <row r="454" spans="1:4" outlineLevel="1" x14ac:dyDescent="0.25">
      <c r="A454" t="s">
        <v>97</v>
      </c>
      <c r="B454" t="s">
        <v>3</v>
      </c>
      <c r="C454" s="1" t="str">
        <f>HYPERLINK("http://продеталь.рф/search.html?article=20A649A52B","20A649A52B")</f>
        <v>20A649A52B</v>
      </c>
      <c r="D454" t="s">
        <v>4</v>
      </c>
    </row>
    <row r="455" spans="1:4" outlineLevel="1" x14ac:dyDescent="0.25">
      <c r="A455" t="s">
        <v>97</v>
      </c>
      <c r="B455" t="s">
        <v>71</v>
      </c>
      <c r="C455" s="1" t="str">
        <f>HYPERLINK("http://продеталь.рф/search.html?article=BM05002VA","BM05002VA")</f>
        <v>BM05002VA</v>
      </c>
      <c r="D455" t="s">
        <v>2</v>
      </c>
    </row>
    <row r="456" spans="1:4" outlineLevel="1" x14ac:dyDescent="0.25">
      <c r="A456" t="s">
        <v>97</v>
      </c>
      <c r="B456" t="s">
        <v>75</v>
      </c>
      <c r="C456" s="1" t="str">
        <f>HYPERLINK("http://продеталь.рф/search.html?article=18A399019B","18A399019B")</f>
        <v>18A399019B</v>
      </c>
      <c r="D456" t="s">
        <v>4</v>
      </c>
    </row>
    <row r="457" spans="1:4" x14ac:dyDescent="0.25">
      <c r="A457" t="s">
        <v>98</v>
      </c>
      <c r="B457" s="2" t="s">
        <v>98</v>
      </c>
      <c r="C457" s="2"/>
      <c r="D457" s="2"/>
    </row>
    <row r="458" spans="1:4" outlineLevel="1" x14ac:dyDescent="0.25">
      <c r="A458" t="s">
        <v>98</v>
      </c>
      <c r="B458" t="s">
        <v>45</v>
      </c>
      <c r="C458" s="1" t="str">
        <f>HYPERLINK("http://продеталь.рф/search.html?article=0054581","0054581")</f>
        <v>0054581</v>
      </c>
      <c r="D458" t="s">
        <v>46</v>
      </c>
    </row>
    <row r="459" spans="1:4" outlineLevel="1" x14ac:dyDescent="0.25">
      <c r="A459" t="s">
        <v>98</v>
      </c>
      <c r="B459" t="s">
        <v>45</v>
      </c>
      <c r="C459" s="1" t="str">
        <f>HYPERLINK("http://продеталь.рф/search.html?article=0054582","0054582")</f>
        <v>0054582</v>
      </c>
      <c r="D459" t="s">
        <v>46</v>
      </c>
    </row>
    <row r="460" spans="1:4" outlineLevel="1" x14ac:dyDescent="0.25">
      <c r="A460" t="s">
        <v>98</v>
      </c>
      <c r="B460" t="s">
        <v>45</v>
      </c>
      <c r="C460" s="1" t="str">
        <f>HYPERLINK("http://продеталь.рф/search.html?article=0054584","0054584")</f>
        <v>0054584</v>
      </c>
      <c r="D460" t="s">
        <v>46</v>
      </c>
    </row>
    <row r="461" spans="1:4" outlineLevel="1" x14ac:dyDescent="0.25">
      <c r="A461" t="s">
        <v>98</v>
      </c>
      <c r="B461" t="s">
        <v>24</v>
      </c>
      <c r="C461" s="1" t="str">
        <f>HYPERLINK("http://продеталь.рф/search.html?article=05040111","05040111")</f>
        <v>05040111</v>
      </c>
      <c r="D461" t="s">
        <v>47</v>
      </c>
    </row>
    <row r="462" spans="1:4" outlineLevel="1" x14ac:dyDescent="0.25">
      <c r="A462" t="s">
        <v>98</v>
      </c>
      <c r="B462" t="s">
        <v>24</v>
      </c>
      <c r="C462" s="1" t="str">
        <f>HYPERLINK("http://продеталь.рф/search.html?article=PBM10003AL","PBM10003AL")</f>
        <v>PBM10003AL</v>
      </c>
      <c r="D462" t="s">
        <v>6</v>
      </c>
    </row>
    <row r="463" spans="1:4" outlineLevel="1" x14ac:dyDescent="0.25">
      <c r="A463" t="s">
        <v>98</v>
      </c>
      <c r="B463" t="s">
        <v>27</v>
      </c>
      <c r="C463" s="1" t="str">
        <f>HYPERLINK("http://продеталь.рф/search.html?article=PBM30009A","PBM30009A")</f>
        <v>PBM30009A</v>
      </c>
      <c r="D463" t="s">
        <v>99</v>
      </c>
    </row>
    <row r="464" spans="1:4" outlineLevel="1" x14ac:dyDescent="0.25">
      <c r="A464" t="s">
        <v>98</v>
      </c>
      <c r="B464" t="s">
        <v>54</v>
      </c>
      <c r="C464" s="1" t="str">
        <f>HYPERLINK("http://продеталь.рф/search.html?article=0054001","0054001")</f>
        <v>0054001</v>
      </c>
      <c r="D464" t="s">
        <v>46</v>
      </c>
    </row>
    <row r="465" spans="1:4" outlineLevel="1" x14ac:dyDescent="0.25">
      <c r="A465" t="s">
        <v>98</v>
      </c>
      <c r="B465" t="s">
        <v>12</v>
      </c>
      <c r="C465" s="1" t="str">
        <f>HYPERLINK("http://продеталь.рф/search.html?article=BM07003GAL","BM07003GAL")</f>
        <v>BM07003GAL</v>
      </c>
      <c r="D465" t="s">
        <v>2</v>
      </c>
    </row>
    <row r="466" spans="1:4" outlineLevel="1" x14ac:dyDescent="0.25">
      <c r="A466" t="s">
        <v>98</v>
      </c>
      <c r="B466" t="s">
        <v>12</v>
      </c>
      <c r="C466" s="1" t="str">
        <f>HYPERLINK("http://продеталь.рф/search.html?article=BM07003GAC","BM07003GAC")</f>
        <v>BM07003GAC</v>
      </c>
      <c r="D466" t="s">
        <v>2</v>
      </c>
    </row>
    <row r="467" spans="1:4" x14ac:dyDescent="0.25">
      <c r="A467" t="s">
        <v>100</v>
      </c>
      <c r="B467" s="2" t="s">
        <v>100</v>
      </c>
      <c r="C467" s="2"/>
      <c r="D467" s="2"/>
    </row>
    <row r="468" spans="1:4" outlineLevel="1" x14ac:dyDescent="0.25">
      <c r="A468" t="s">
        <v>100</v>
      </c>
      <c r="B468" t="s">
        <v>11</v>
      </c>
      <c r="C468" s="1" t="str">
        <f>HYPERLINK("http://продеталь.рф/search.html?article=BM32000004000","BM32000004000")</f>
        <v>BM32000004000</v>
      </c>
      <c r="D468" t="s">
        <v>9</v>
      </c>
    </row>
    <row r="469" spans="1:4" outlineLevel="1" x14ac:dyDescent="0.25">
      <c r="A469" t="s">
        <v>100</v>
      </c>
      <c r="B469" t="s">
        <v>15</v>
      </c>
      <c r="C469" s="1" t="str">
        <f>HYPERLINK("http://продеталь.рф/search.html?article=3030002","3030002")</f>
        <v>3030002</v>
      </c>
      <c r="D469" t="s">
        <v>4</v>
      </c>
    </row>
    <row r="470" spans="1:4" outlineLevel="1" x14ac:dyDescent="0.25">
      <c r="A470" t="s">
        <v>100</v>
      </c>
      <c r="B470" t="s">
        <v>59</v>
      </c>
      <c r="C470" s="1" t="str">
        <f>HYPERLINK("http://продеталь.рф/search.html?article=BM99005GA","BM99005GA")</f>
        <v>BM99005GA</v>
      </c>
      <c r="D470" t="s">
        <v>2</v>
      </c>
    </row>
    <row r="471" spans="1:4" outlineLevel="1" x14ac:dyDescent="0.25">
      <c r="A471" t="s">
        <v>100</v>
      </c>
      <c r="B471" t="s">
        <v>79</v>
      </c>
      <c r="C471" s="1" t="str">
        <f>HYPERLINK("http://продеталь.рф/search.html?article=UBA0353000","UBA0353000")</f>
        <v>UBA0353000</v>
      </c>
      <c r="D471" t="s">
        <v>2</v>
      </c>
    </row>
    <row r="472" spans="1:4" outlineLevel="1" x14ac:dyDescent="0.25">
      <c r="A472" t="s">
        <v>100</v>
      </c>
      <c r="B472" t="s">
        <v>101</v>
      </c>
      <c r="C472" s="1" t="str">
        <f>HYPERLINK("http://продеталь.рф/search.html?article=BM99007CA","BM99007CA")</f>
        <v>BM99007CA</v>
      </c>
      <c r="D472" t="s">
        <v>2</v>
      </c>
    </row>
    <row r="473" spans="1:4" outlineLevel="1" x14ac:dyDescent="0.25">
      <c r="A473" t="s">
        <v>100</v>
      </c>
      <c r="B473" t="s">
        <v>101</v>
      </c>
      <c r="C473" s="1" t="str">
        <f>HYPERLINK("http://продеталь.рф/search.html?article=BM47005AC","BM47005AC")</f>
        <v>BM47005AC</v>
      </c>
      <c r="D473" t="s">
        <v>2</v>
      </c>
    </row>
    <row r="474" spans="1:4" outlineLevel="1" x14ac:dyDescent="0.25">
      <c r="A474" t="s">
        <v>100</v>
      </c>
      <c r="B474" t="s">
        <v>23</v>
      </c>
      <c r="C474" s="1" t="str">
        <f>HYPERLINK("http://продеталь.рф/search.html?article=115907412","115907412")</f>
        <v>115907412</v>
      </c>
      <c r="D474" t="s">
        <v>4</v>
      </c>
    </row>
    <row r="475" spans="1:4" outlineLevel="1" x14ac:dyDescent="0.25">
      <c r="A475" t="s">
        <v>100</v>
      </c>
      <c r="B475" t="s">
        <v>45</v>
      </c>
      <c r="C475" s="1" t="str">
        <f>HYPERLINK("http://продеталь.рф/search.html?article=0060581","0060581")</f>
        <v>0060581</v>
      </c>
      <c r="D475" t="s">
        <v>46</v>
      </c>
    </row>
    <row r="476" spans="1:4" outlineLevel="1" x14ac:dyDescent="0.25">
      <c r="A476" t="s">
        <v>100</v>
      </c>
      <c r="B476" t="s">
        <v>45</v>
      </c>
      <c r="C476" s="1" t="str">
        <f>HYPERLINK("http://продеталь.рф/search.html?article=0060582","0060582")</f>
        <v>0060582</v>
      </c>
      <c r="D476" t="s">
        <v>46</v>
      </c>
    </row>
    <row r="477" spans="1:4" outlineLevel="1" x14ac:dyDescent="0.25">
      <c r="A477" t="s">
        <v>100</v>
      </c>
      <c r="B477" t="s">
        <v>45</v>
      </c>
      <c r="C477" s="1" t="str">
        <f>HYPERLINK("http://продеталь.рф/search.html?article=0060591","0060591")</f>
        <v>0060591</v>
      </c>
      <c r="D477" t="s">
        <v>46</v>
      </c>
    </row>
    <row r="478" spans="1:4" outlineLevel="1" x14ac:dyDescent="0.25">
      <c r="A478" t="s">
        <v>100</v>
      </c>
      <c r="B478" t="s">
        <v>35</v>
      </c>
      <c r="C478" s="1" t="str">
        <f>HYPERLINK("http://продеталь.рф/search.html?article=312100","312100")</f>
        <v>312100</v>
      </c>
      <c r="D478" t="s">
        <v>21</v>
      </c>
    </row>
    <row r="479" spans="1:4" outlineLevel="1" x14ac:dyDescent="0.25">
      <c r="A479" t="s">
        <v>100</v>
      </c>
      <c r="B479" t="s">
        <v>1</v>
      </c>
      <c r="C479" s="1" t="str">
        <f>HYPERLINK("http://продеталь.рф/search.html?article=BM32015A0","BM32015A0")</f>
        <v>BM32015A0</v>
      </c>
      <c r="D479" t="s">
        <v>9</v>
      </c>
    </row>
    <row r="480" spans="1:4" outlineLevel="1" x14ac:dyDescent="0.25">
      <c r="A480" t="s">
        <v>100</v>
      </c>
      <c r="B480" t="s">
        <v>24</v>
      </c>
      <c r="C480" s="1" t="str">
        <f>HYPERLINK("http://продеталь.рф/search.html?article=05080112","05080112")</f>
        <v>05080112</v>
      </c>
      <c r="D480" t="s">
        <v>47</v>
      </c>
    </row>
    <row r="481" spans="1:4" outlineLevel="1" x14ac:dyDescent="0.25">
      <c r="A481" t="s">
        <v>100</v>
      </c>
      <c r="B481" t="s">
        <v>24</v>
      </c>
      <c r="C481" s="1" t="str">
        <f>HYPERLINK("http://продеталь.рф/search.html?article=13361007","13361007")</f>
        <v>13361007</v>
      </c>
      <c r="D481" t="s">
        <v>49</v>
      </c>
    </row>
    <row r="482" spans="1:4" outlineLevel="1" x14ac:dyDescent="0.25">
      <c r="A482" t="s">
        <v>100</v>
      </c>
      <c r="B482" t="s">
        <v>24</v>
      </c>
      <c r="C482" s="1" t="str">
        <f>HYPERLINK("http://продеталь.рф/search.html?article=BM10007DR","BM10007DR")</f>
        <v>BM10007DR</v>
      </c>
      <c r="D482" t="s">
        <v>2</v>
      </c>
    </row>
    <row r="483" spans="1:4" outlineLevel="1" x14ac:dyDescent="0.25">
      <c r="A483" t="s">
        <v>100</v>
      </c>
      <c r="B483" t="s">
        <v>102</v>
      </c>
      <c r="C483" s="1" t="str">
        <f>HYPERLINK("http://продеталь.рф/search.html?article=BM10007AR","BM10007AR")</f>
        <v>BM10007AR</v>
      </c>
      <c r="D483" t="s">
        <v>2</v>
      </c>
    </row>
    <row r="484" spans="1:4" outlineLevel="1" x14ac:dyDescent="0.25">
      <c r="A484" t="s">
        <v>100</v>
      </c>
      <c r="B484" t="s">
        <v>103</v>
      </c>
      <c r="C484" s="1" t="str">
        <f>HYPERLINK("http://продеталь.рф/search.html?article=BM99006CAL","BM99006CAL")</f>
        <v>BM99006CAL</v>
      </c>
      <c r="D484" t="s">
        <v>2</v>
      </c>
    </row>
    <row r="485" spans="1:4" outlineLevel="1" x14ac:dyDescent="0.25">
      <c r="A485" t="s">
        <v>100</v>
      </c>
      <c r="B485" t="s">
        <v>103</v>
      </c>
      <c r="C485" s="1" t="str">
        <f>HYPERLINK("http://продеталь.рф/search.html?article=BM99006CAR","BM99006CAR")</f>
        <v>BM99006CAR</v>
      </c>
      <c r="D485" t="s">
        <v>2</v>
      </c>
    </row>
    <row r="486" spans="1:4" outlineLevel="1" x14ac:dyDescent="0.25">
      <c r="A486" t="s">
        <v>100</v>
      </c>
      <c r="B486" t="s">
        <v>26</v>
      </c>
      <c r="C486" s="1" t="str">
        <f>HYPERLINK("http://продеталь.рф/search.html?article=BME3694170BL","BME3694170BL")</f>
        <v>BME3694170BL</v>
      </c>
      <c r="D486" t="s">
        <v>34</v>
      </c>
    </row>
    <row r="487" spans="1:4" outlineLevel="1" x14ac:dyDescent="0.25">
      <c r="A487" t="s">
        <v>100</v>
      </c>
      <c r="B487" t="s">
        <v>26</v>
      </c>
      <c r="C487" s="1" t="str">
        <f>HYPERLINK("http://продеталь.рф/search.html?article=BM320000M0L00","BM320000M0L00")</f>
        <v>BM320000M0L00</v>
      </c>
      <c r="D487" t="s">
        <v>9</v>
      </c>
    </row>
    <row r="488" spans="1:4" outlineLevel="1" x14ac:dyDescent="0.25">
      <c r="A488" t="s">
        <v>100</v>
      </c>
      <c r="B488" t="s">
        <v>51</v>
      </c>
      <c r="C488" s="1" t="str">
        <f>HYPERLINK("http://продеталь.рф/search.html?article=BM32002600000","BM32002600000")</f>
        <v>BM32002600000</v>
      </c>
      <c r="D488" t="s">
        <v>9</v>
      </c>
    </row>
    <row r="489" spans="1:4" outlineLevel="1" x14ac:dyDescent="0.25">
      <c r="A489" t="s">
        <v>100</v>
      </c>
      <c r="B489" t="s">
        <v>3</v>
      </c>
      <c r="C489" s="1" t="str">
        <f>HYPERLINK("http://продеталь.рф/search.html?article=205294082","205294082")</f>
        <v>205294082</v>
      </c>
      <c r="D489" t="s">
        <v>4</v>
      </c>
    </row>
    <row r="490" spans="1:4" outlineLevel="1" x14ac:dyDescent="0.25">
      <c r="A490" t="s">
        <v>100</v>
      </c>
      <c r="B490" t="s">
        <v>3</v>
      </c>
      <c r="C490" s="1" t="str">
        <f>HYPERLINK("http://продеталь.рф/search.html?article=205293082","205293082")</f>
        <v>205293082</v>
      </c>
      <c r="D490" t="s">
        <v>4</v>
      </c>
    </row>
    <row r="491" spans="1:4" outlineLevel="1" x14ac:dyDescent="0.25">
      <c r="A491" t="s">
        <v>100</v>
      </c>
      <c r="B491" t="s">
        <v>54</v>
      </c>
      <c r="C491" s="1" t="str">
        <f>HYPERLINK("http://продеталь.рф/search.html?article=0060011","0060011")</f>
        <v>0060011</v>
      </c>
      <c r="D491" t="s">
        <v>46</v>
      </c>
    </row>
    <row r="492" spans="1:4" outlineLevel="1" x14ac:dyDescent="0.25">
      <c r="A492" t="s">
        <v>100</v>
      </c>
      <c r="B492" t="s">
        <v>54</v>
      </c>
      <c r="C492" s="1" t="str">
        <f>HYPERLINK("http://продеталь.рф/search.html?article=0060012","0060012")</f>
        <v>0060012</v>
      </c>
      <c r="D492" t="s">
        <v>46</v>
      </c>
    </row>
    <row r="493" spans="1:4" outlineLevel="1" x14ac:dyDescent="0.25">
      <c r="A493" t="s">
        <v>100</v>
      </c>
      <c r="B493" t="s">
        <v>19</v>
      </c>
      <c r="C493" s="1" t="str">
        <f>HYPERLINK("http://продеталь.рф/search.html?article=191210052","191210052")</f>
        <v>191210052</v>
      </c>
      <c r="D493" t="s">
        <v>4</v>
      </c>
    </row>
    <row r="494" spans="1:4" outlineLevel="1" x14ac:dyDescent="0.25">
      <c r="A494" t="s">
        <v>100</v>
      </c>
      <c r="B494" t="s">
        <v>19</v>
      </c>
      <c r="C494" s="1" t="str">
        <f>HYPERLINK("http://продеталь.рф/search.html?article=191209052","191209052")</f>
        <v>191209052</v>
      </c>
      <c r="D494" t="s">
        <v>4</v>
      </c>
    </row>
    <row r="495" spans="1:4" outlineLevel="1" x14ac:dyDescent="0.25">
      <c r="A495" t="s">
        <v>100</v>
      </c>
      <c r="B495" t="s">
        <v>19</v>
      </c>
      <c r="C495" s="1" t="str">
        <f>HYPERLINK("http://продеталь.рф/search.html?article=ZBM2001L","ZBM2001L")</f>
        <v>ZBM2001L</v>
      </c>
      <c r="D495" t="s">
        <v>6</v>
      </c>
    </row>
    <row r="496" spans="1:4" outlineLevel="1" x14ac:dyDescent="0.25">
      <c r="A496" t="s">
        <v>100</v>
      </c>
      <c r="B496" t="s">
        <v>19</v>
      </c>
      <c r="C496" s="1" t="str">
        <f>HYPERLINK("http://продеталь.рф/search.html?article=ZBM2001R","ZBM2001R")</f>
        <v>ZBM2001R</v>
      </c>
      <c r="D496" t="s">
        <v>6</v>
      </c>
    </row>
    <row r="497" spans="1:4" outlineLevel="1" x14ac:dyDescent="0.25">
      <c r="A497" t="s">
        <v>100</v>
      </c>
      <c r="B497" t="s">
        <v>28</v>
      </c>
      <c r="C497" s="1" t="str">
        <f>HYPERLINK("http://продеталь.рф/search.html?article=613BMP006","613BMP006")</f>
        <v>613BMP006</v>
      </c>
      <c r="D497" t="s">
        <v>4</v>
      </c>
    </row>
    <row r="498" spans="1:4" outlineLevel="1" x14ac:dyDescent="0.25">
      <c r="A498" t="s">
        <v>100</v>
      </c>
      <c r="B498" t="s">
        <v>28</v>
      </c>
      <c r="C498" s="1" t="str">
        <f>HYPERLINK("http://продеталь.рф/search.html?article=RA60757A","RA60757A")</f>
        <v>RA60757A</v>
      </c>
      <c r="D498" t="s">
        <v>6</v>
      </c>
    </row>
    <row r="499" spans="1:4" outlineLevel="1" x14ac:dyDescent="0.25">
      <c r="A499" t="s">
        <v>100</v>
      </c>
      <c r="B499" t="s">
        <v>29</v>
      </c>
      <c r="C499" s="1" t="str">
        <f>HYPERLINK("http://продеталь.рф/search.html?article=RP70509","RP70509")</f>
        <v>RP70509</v>
      </c>
      <c r="D499" t="s">
        <v>6</v>
      </c>
    </row>
    <row r="500" spans="1:4" outlineLevel="1" x14ac:dyDescent="0.25">
      <c r="A500" t="s">
        <v>100</v>
      </c>
      <c r="B500" t="s">
        <v>29</v>
      </c>
      <c r="C500" s="1" t="str">
        <f>HYPERLINK("http://продеталь.рф/search.html?article=RP70512","RP70512")</f>
        <v>RP70512</v>
      </c>
      <c r="D500" t="s">
        <v>6</v>
      </c>
    </row>
    <row r="501" spans="1:4" outlineLevel="1" x14ac:dyDescent="0.25">
      <c r="A501" t="s">
        <v>100</v>
      </c>
      <c r="B501" t="s">
        <v>55</v>
      </c>
      <c r="C501" s="1" t="str">
        <f>HYPERLINK("http://продеталь.рф/search.html?article=BM32093NB0","BM32093NB0")</f>
        <v>BM32093NB0</v>
      </c>
      <c r="D501" t="s">
        <v>9</v>
      </c>
    </row>
    <row r="502" spans="1:4" outlineLevel="1" x14ac:dyDescent="0.25">
      <c r="A502" t="s">
        <v>100</v>
      </c>
      <c r="B502" t="s">
        <v>39</v>
      </c>
      <c r="C502" s="1" t="str">
        <f>HYPERLINK("http://продеталь.рф/search.html?article=AFBM109","AFBM109")</f>
        <v>AFBM109</v>
      </c>
      <c r="D502" t="s">
        <v>6</v>
      </c>
    </row>
    <row r="503" spans="1:4" outlineLevel="1" x14ac:dyDescent="0.25">
      <c r="A503" t="s">
        <v>100</v>
      </c>
      <c r="B503" t="s">
        <v>12</v>
      </c>
      <c r="C503" s="1" t="str">
        <f>HYPERLINK("http://продеталь.рф/search.html?article=BM32009300L00","BM32009300L00")</f>
        <v>BM32009300L00</v>
      </c>
      <c r="D503" t="s">
        <v>9</v>
      </c>
    </row>
    <row r="504" spans="1:4" outlineLevel="1" x14ac:dyDescent="0.25">
      <c r="A504" t="s">
        <v>100</v>
      </c>
      <c r="B504" t="s">
        <v>32</v>
      </c>
      <c r="C504" s="1" t="str">
        <f>HYPERLINK("http://продеталь.рф/search.html?article=30300021","30300021")</f>
        <v>30300021</v>
      </c>
      <c r="D504" t="s">
        <v>4</v>
      </c>
    </row>
    <row r="505" spans="1:4" outlineLevel="1" x14ac:dyDescent="0.25">
      <c r="A505" t="s">
        <v>100</v>
      </c>
      <c r="B505" t="s">
        <v>32</v>
      </c>
      <c r="C505" s="1" t="str">
        <f>HYPERLINK("http://продеталь.рф/search.html?article=30300241","30300241")</f>
        <v>30300241</v>
      </c>
      <c r="D505" t="s">
        <v>4</v>
      </c>
    </row>
    <row r="506" spans="1:4" outlineLevel="1" x14ac:dyDescent="0.25">
      <c r="A506" t="s">
        <v>100</v>
      </c>
      <c r="B506" t="s">
        <v>32</v>
      </c>
      <c r="C506" s="1" t="str">
        <f>HYPERLINK("http://продеталь.рф/search.html?article=30300231","30300231")</f>
        <v>30300231</v>
      </c>
      <c r="D506" t="s">
        <v>4</v>
      </c>
    </row>
    <row r="507" spans="1:4" outlineLevel="1" x14ac:dyDescent="0.25">
      <c r="A507" t="s">
        <v>100</v>
      </c>
      <c r="B507" t="s">
        <v>104</v>
      </c>
      <c r="C507" s="1" t="str">
        <f>HYPERLINK("http://продеталь.рф/search.html?article=SBM1110R","SBM1110R")</f>
        <v>SBM1110R</v>
      </c>
      <c r="D507" t="s">
        <v>63</v>
      </c>
    </row>
    <row r="508" spans="1:4" outlineLevel="1" x14ac:dyDescent="0.25">
      <c r="A508" t="s">
        <v>100</v>
      </c>
      <c r="B508" t="s">
        <v>105</v>
      </c>
      <c r="C508" s="1" t="str">
        <f>HYPERLINK("http://продеталь.рф/search.html?article=SBM2001TR","SBM2001TR")</f>
        <v>SBM2001TR</v>
      </c>
      <c r="D508" t="s">
        <v>63</v>
      </c>
    </row>
    <row r="509" spans="1:4" outlineLevel="1" x14ac:dyDescent="0.25">
      <c r="A509" t="s">
        <v>100</v>
      </c>
      <c r="B509" t="s">
        <v>105</v>
      </c>
      <c r="C509" s="1" t="str">
        <f>HYPERLINK("http://продеталь.рф/search.html?article=SBM2001TL","SBM2001TL")</f>
        <v>SBM2001TL</v>
      </c>
      <c r="D509" t="s">
        <v>63</v>
      </c>
    </row>
    <row r="510" spans="1:4" outlineLevel="1" x14ac:dyDescent="0.25">
      <c r="A510" t="s">
        <v>100</v>
      </c>
      <c r="B510" t="s">
        <v>16</v>
      </c>
      <c r="C510" s="1" t="str">
        <f>HYPERLINK("http://продеталь.рф/search.html?article=183272932","183272932")</f>
        <v>183272932</v>
      </c>
      <c r="D510" t="s">
        <v>4</v>
      </c>
    </row>
    <row r="511" spans="1:4" outlineLevel="1" x14ac:dyDescent="0.25">
      <c r="A511" t="s">
        <v>100</v>
      </c>
      <c r="B511" t="s">
        <v>16</v>
      </c>
      <c r="C511" s="1" t="str">
        <f>HYPERLINK("http://продеталь.рф/search.html?article=183271932","183271932")</f>
        <v>183271932</v>
      </c>
      <c r="D511" t="s">
        <v>4</v>
      </c>
    </row>
    <row r="512" spans="1:4" outlineLevel="1" x14ac:dyDescent="0.25">
      <c r="A512" t="s">
        <v>100</v>
      </c>
      <c r="B512" t="s">
        <v>16</v>
      </c>
      <c r="C512" s="1" t="str">
        <f>HYPERLINK("http://продеталь.рф/search.html?article=185352152","185352152")</f>
        <v>185352152</v>
      </c>
      <c r="D512" t="s">
        <v>4</v>
      </c>
    </row>
    <row r="513" spans="1:4" outlineLevel="1" x14ac:dyDescent="0.25">
      <c r="A513" t="s">
        <v>100</v>
      </c>
      <c r="B513" t="s">
        <v>16</v>
      </c>
      <c r="C513" s="1" t="str">
        <f>HYPERLINK("http://продеталь.рф/search.html?article=185351152","185351152")</f>
        <v>185351152</v>
      </c>
      <c r="D513" t="s">
        <v>4</v>
      </c>
    </row>
    <row r="514" spans="1:4" outlineLevel="1" x14ac:dyDescent="0.25">
      <c r="A514" t="s">
        <v>100</v>
      </c>
      <c r="B514" t="s">
        <v>16</v>
      </c>
      <c r="C514" s="1" t="str">
        <f>HYPERLINK("http://продеталь.рф/search.html?article=183272152","183272152")</f>
        <v>183272152</v>
      </c>
      <c r="D514" t="s">
        <v>4</v>
      </c>
    </row>
    <row r="515" spans="1:4" outlineLevel="1" x14ac:dyDescent="0.25">
      <c r="A515" t="s">
        <v>100</v>
      </c>
      <c r="B515" t="s">
        <v>16</v>
      </c>
      <c r="C515" s="1" t="str">
        <f>HYPERLINK("http://продеталь.рф/search.html?article=183271152","183271152")</f>
        <v>183271152</v>
      </c>
      <c r="D515" t="s">
        <v>4</v>
      </c>
    </row>
    <row r="516" spans="1:4" outlineLevel="1" x14ac:dyDescent="0.25">
      <c r="A516" t="s">
        <v>100</v>
      </c>
      <c r="B516" t="s">
        <v>13</v>
      </c>
      <c r="C516" s="1" t="str">
        <f>HYPERLINK("http://продеталь.рф/search.html?article=BM32000R0","BM32000R0")</f>
        <v>BM32000R0</v>
      </c>
      <c r="D516" t="s">
        <v>9</v>
      </c>
    </row>
    <row r="517" spans="1:4" x14ac:dyDescent="0.25">
      <c r="A517" t="s">
        <v>106</v>
      </c>
      <c r="B517" s="2" t="s">
        <v>106</v>
      </c>
      <c r="C517" s="2"/>
      <c r="D517" s="2"/>
    </row>
    <row r="518" spans="1:4" outlineLevel="1" x14ac:dyDescent="0.25">
      <c r="A518" t="s">
        <v>106</v>
      </c>
      <c r="B518" t="s">
        <v>11</v>
      </c>
      <c r="C518" s="1" t="str">
        <f>HYPERLINK("http://продеталь.рф/search.html?article=BM33000B0","BM33000B0")</f>
        <v>BM33000B0</v>
      </c>
      <c r="D518" t="s">
        <v>9</v>
      </c>
    </row>
    <row r="519" spans="1:4" outlineLevel="1" x14ac:dyDescent="0.25">
      <c r="A519" t="s">
        <v>106</v>
      </c>
      <c r="B519" t="s">
        <v>11</v>
      </c>
      <c r="C519" s="1" t="str">
        <f>HYPERLINK("http://продеталь.рф/search.html?article=BM330000","BM330000")</f>
        <v>BM330000</v>
      </c>
      <c r="D519" t="s">
        <v>9</v>
      </c>
    </row>
    <row r="520" spans="1:4" outlineLevel="1" x14ac:dyDescent="0.25">
      <c r="A520" t="s">
        <v>106</v>
      </c>
      <c r="B520" t="s">
        <v>11</v>
      </c>
      <c r="C520" s="1" t="str">
        <f>HYPERLINK("http://продеталь.рф/search.html?article=BM04009BA","BM04009BA")</f>
        <v>BM04009BA</v>
      </c>
      <c r="D520" t="s">
        <v>2</v>
      </c>
    </row>
    <row r="521" spans="1:4" outlineLevel="1" x14ac:dyDescent="0.25">
      <c r="A521" t="s">
        <v>106</v>
      </c>
      <c r="B521" t="s">
        <v>15</v>
      </c>
      <c r="C521" s="1" t="str">
        <f>HYPERLINK("http://продеталь.рф/search.html?article=3030014","3030014")</f>
        <v>3030014</v>
      </c>
      <c r="D521" t="s">
        <v>4</v>
      </c>
    </row>
    <row r="522" spans="1:4" outlineLevel="1" x14ac:dyDescent="0.25">
      <c r="A522" t="s">
        <v>106</v>
      </c>
      <c r="B522" t="s">
        <v>15</v>
      </c>
      <c r="C522" s="1" t="str">
        <f>HYPERLINK("http://продеталь.рф/search.html?article=3030013","3030013")</f>
        <v>3030013</v>
      </c>
      <c r="D522" t="s">
        <v>4</v>
      </c>
    </row>
    <row r="523" spans="1:4" outlineLevel="1" x14ac:dyDescent="0.25">
      <c r="A523" t="s">
        <v>106</v>
      </c>
      <c r="B523" t="s">
        <v>59</v>
      </c>
      <c r="C523" s="1" t="str">
        <f>HYPERLINK("http://продеталь.рф/search.html?article=1101713","1101713")</f>
        <v>1101713</v>
      </c>
      <c r="D523" t="s">
        <v>58</v>
      </c>
    </row>
    <row r="524" spans="1:4" outlineLevel="1" x14ac:dyDescent="0.25">
      <c r="A524" t="s">
        <v>106</v>
      </c>
      <c r="B524" t="s">
        <v>59</v>
      </c>
      <c r="C524" s="1" t="str">
        <f>HYPERLINK("http://продеталь.рф/search.html?article=BM330000L0000","BM330000L0000")</f>
        <v>BM330000L0000</v>
      </c>
      <c r="D524" t="s">
        <v>9</v>
      </c>
    </row>
    <row r="525" spans="1:4" outlineLevel="1" x14ac:dyDescent="0.25">
      <c r="A525" t="s">
        <v>106</v>
      </c>
      <c r="B525" t="s">
        <v>101</v>
      </c>
      <c r="C525" s="1" t="str">
        <f>HYPERLINK("http://продеталь.рф/search.html?article=PBM99045CA","PBM99045CA")</f>
        <v>PBM99045CA</v>
      </c>
      <c r="D525" t="s">
        <v>6</v>
      </c>
    </row>
    <row r="526" spans="1:4" outlineLevel="1" x14ac:dyDescent="0.25">
      <c r="A526" t="s">
        <v>106</v>
      </c>
      <c r="B526" t="s">
        <v>101</v>
      </c>
      <c r="C526" s="1" t="str">
        <f>HYPERLINK("http://продеталь.рф/search.html?article=PBM99037CB","PBM99037CB")</f>
        <v>PBM99037CB</v>
      </c>
      <c r="D526" t="s">
        <v>6</v>
      </c>
    </row>
    <row r="527" spans="1:4" outlineLevel="1" x14ac:dyDescent="0.25">
      <c r="A527" t="s">
        <v>106</v>
      </c>
      <c r="B527" t="s">
        <v>101</v>
      </c>
      <c r="C527" s="1" t="str">
        <f>HYPERLINK("http://продеталь.рф/search.html?article=BM330000C3000","BM330000C3000")</f>
        <v>BM330000C3000</v>
      </c>
      <c r="D527" t="s">
        <v>9</v>
      </c>
    </row>
    <row r="528" spans="1:4" outlineLevel="1" x14ac:dyDescent="0.25">
      <c r="A528" t="s">
        <v>106</v>
      </c>
      <c r="B528" t="s">
        <v>23</v>
      </c>
      <c r="C528" s="1" t="str">
        <f>HYPERLINK("http://продеталь.рф/search.html?article=175222119","175222119")</f>
        <v>175222119</v>
      </c>
      <c r="D528" t="s">
        <v>4</v>
      </c>
    </row>
    <row r="529" spans="1:4" outlineLevel="1" x14ac:dyDescent="0.25">
      <c r="A529" t="s">
        <v>106</v>
      </c>
      <c r="B529" t="s">
        <v>23</v>
      </c>
      <c r="C529" s="1" t="str">
        <f>HYPERLINK("http://продеталь.рф/search.html?article=175221119","175221119")</f>
        <v>175221119</v>
      </c>
      <c r="D529" t="s">
        <v>4</v>
      </c>
    </row>
    <row r="530" spans="1:4" outlineLevel="1" x14ac:dyDescent="0.25">
      <c r="A530" t="s">
        <v>106</v>
      </c>
      <c r="B530" t="s">
        <v>23</v>
      </c>
      <c r="C530" s="1" t="str">
        <f>HYPERLINK("http://продеталь.рф/search.html?article=110011012","110011012")</f>
        <v>110011012</v>
      </c>
      <c r="D530" t="s">
        <v>4</v>
      </c>
    </row>
    <row r="531" spans="1:4" outlineLevel="1" x14ac:dyDescent="0.25">
      <c r="A531" t="s">
        <v>106</v>
      </c>
      <c r="B531" t="s">
        <v>35</v>
      </c>
      <c r="C531" s="1" t="str">
        <f>HYPERLINK("http://продеталь.рф/search.html?article=312110","312110")</f>
        <v>312110</v>
      </c>
      <c r="D531" t="s">
        <v>21</v>
      </c>
    </row>
    <row r="532" spans="1:4" outlineLevel="1" x14ac:dyDescent="0.25">
      <c r="A532" t="s">
        <v>106</v>
      </c>
      <c r="B532" t="s">
        <v>1</v>
      </c>
      <c r="C532" s="1" t="str">
        <f>HYPERLINK("http://продеталь.рф/search.html?article=BM33015A0","BM33015A0")</f>
        <v>BM33015A0</v>
      </c>
      <c r="D532" t="s">
        <v>9</v>
      </c>
    </row>
    <row r="533" spans="1:4" outlineLevel="1" x14ac:dyDescent="0.25">
      <c r="A533" t="s">
        <v>106</v>
      </c>
      <c r="B533" t="s">
        <v>84</v>
      </c>
      <c r="C533" s="1" t="str">
        <f>HYPERLINK("http://продеталь.рф/search.html?article=BM337012","BM337012")</f>
        <v>BM337012</v>
      </c>
      <c r="D533" t="s">
        <v>9</v>
      </c>
    </row>
    <row r="534" spans="1:4" outlineLevel="1" x14ac:dyDescent="0.25">
      <c r="A534" t="s">
        <v>106</v>
      </c>
      <c r="B534" t="s">
        <v>84</v>
      </c>
      <c r="C534" s="1" t="str">
        <f>HYPERLINK("http://продеталь.рф/search.html?article=BM337011","BM337011")</f>
        <v>BM337011</v>
      </c>
      <c r="D534" t="s">
        <v>9</v>
      </c>
    </row>
    <row r="535" spans="1:4" outlineLevel="1" x14ac:dyDescent="0.25">
      <c r="A535" t="s">
        <v>106</v>
      </c>
      <c r="B535" t="s">
        <v>24</v>
      </c>
      <c r="C535" s="1" t="str">
        <f>HYPERLINK("http://продеталь.рф/search.html?article=BM33016A2","BM33016A2")</f>
        <v>BM33016A2</v>
      </c>
      <c r="D535" t="s">
        <v>9</v>
      </c>
    </row>
    <row r="536" spans="1:4" outlineLevel="1" x14ac:dyDescent="0.25">
      <c r="A536" t="s">
        <v>106</v>
      </c>
      <c r="B536" t="s">
        <v>66</v>
      </c>
      <c r="C536" s="1" t="str">
        <f>HYPERLINK("http://продеталь.рф/search.html?article=BK009","BK009")</f>
        <v>BK009</v>
      </c>
      <c r="D536" t="s">
        <v>6</v>
      </c>
    </row>
    <row r="537" spans="1:4" outlineLevel="1" x14ac:dyDescent="0.25">
      <c r="A537" t="s">
        <v>106</v>
      </c>
      <c r="B537" t="s">
        <v>50</v>
      </c>
      <c r="C537" s="1" t="str">
        <f>HYPERLINK("http://продеталь.рф/search.html?article=1115715","1115715")</f>
        <v>1115715</v>
      </c>
      <c r="D537" t="s">
        <v>58</v>
      </c>
    </row>
    <row r="538" spans="1:4" outlineLevel="1" x14ac:dyDescent="0.25">
      <c r="A538" t="s">
        <v>106</v>
      </c>
      <c r="B538" t="s">
        <v>50</v>
      </c>
      <c r="C538" s="1" t="str">
        <f>HYPERLINK("http://продеталь.рф/search.html?article=1115714","1115714")</f>
        <v>1115714</v>
      </c>
      <c r="D538" t="s">
        <v>58</v>
      </c>
    </row>
    <row r="539" spans="1:4" outlineLevel="1" x14ac:dyDescent="0.25">
      <c r="A539" t="s">
        <v>106</v>
      </c>
      <c r="B539" t="s">
        <v>50</v>
      </c>
      <c r="C539" s="1" t="str">
        <f>HYPERLINK("http://продеталь.рф/search.html?article=BM33206C2","BM33206C2")</f>
        <v>BM33206C2</v>
      </c>
      <c r="D539" t="s">
        <v>9</v>
      </c>
    </row>
    <row r="540" spans="1:4" outlineLevel="1" x14ac:dyDescent="0.25">
      <c r="A540" t="s">
        <v>106</v>
      </c>
      <c r="B540" t="s">
        <v>26</v>
      </c>
      <c r="C540" s="1" t="str">
        <f>HYPERLINK("http://продеталь.рф/search.html?article=BM99017MAL","BM99017MAL")</f>
        <v>BM99017MAL</v>
      </c>
      <c r="D540" t="s">
        <v>2</v>
      </c>
    </row>
    <row r="541" spans="1:4" outlineLevel="1" x14ac:dyDescent="0.25">
      <c r="A541" t="s">
        <v>106</v>
      </c>
      <c r="B541" t="s">
        <v>26</v>
      </c>
      <c r="C541" s="1" t="str">
        <f>HYPERLINK("http://продеталь.рф/search.html?article=BM99017MAR","BM99017MAR")</f>
        <v>BM99017MAR</v>
      </c>
      <c r="D541" t="s">
        <v>2</v>
      </c>
    </row>
    <row r="542" spans="1:4" outlineLevel="1" x14ac:dyDescent="0.25">
      <c r="A542" t="s">
        <v>106</v>
      </c>
      <c r="B542" t="s">
        <v>27</v>
      </c>
      <c r="C542" s="1" t="str">
        <f>HYPERLINK("http://продеталь.рф/search.html?article=BM330090","BM330090")</f>
        <v>BM330090</v>
      </c>
      <c r="D542" t="s">
        <v>9</v>
      </c>
    </row>
    <row r="543" spans="1:4" outlineLevel="1" x14ac:dyDescent="0.25">
      <c r="A543" t="s">
        <v>106</v>
      </c>
      <c r="B543" t="s">
        <v>3</v>
      </c>
      <c r="C543" s="1" t="str">
        <f>HYPERLINK("http://продеталь.рф/search.html?article=200012012","200012012")</f>
        <v>200012012</v>
      </c>
      <c r="D543" t="s">
        <v>4</v>
      </c>
    </row>
    <row r="544" spans="1:4" outlineLevel="1" x14ac:dyDescent="0.25">
      <c r="A544" t="s">
        <v>106</v>
      </c>
      <c r="B544" t="s">
        <v>3</v>
      </c>
      <c r="C544" s="1" t="str">
        <f>HYPERLINK("http://продеталь.рф/search.html?article=200011012","200011012")</f>
        <v>200011012</v>
      </c>
      <c r="D544" t="s">
        <v>4</v>
      </c>
    </row>
    <row r="545" spans="1:4" outlineLevel="1" x14ac:dyDescent="0.25">
      <c r="A545" t="s">
        <v>106</v>
      </c>
      <c r="B545" t="s">
        <v>3</v>
      </c>
      <c r="C545" s="1" t="str">
        <f>HYPERLINK("http://продеталь.рф/search.html?article=200321012","200321012")</f>
        <v>200321012</v>
      </c>
      <c r="D545" t="s">
        <v>4</v>
      </c>
    </row>
    <row r="546" spans="1:4" outlineLevel="1" x14ac:dyDescent="0.25">
      <c r="A546" t="s">
        <v>106</v>
      </c>
      <c r="B546" t="s">
        <v>3</v>
      </c>
      <c r="C546" s="1" t="str">
        <f>HYPERLINK("http://продеталь.рф/search.html?article=200014012","200014012")</f>
        <v>200014012</v>
      </c>
      <c r="D546" t="s">
        <v>4</v>
      </c>
    </row>
    <row r="547" spans="1:4" outlineLevel="1" x14ac:dyDescent="0.25">
      <c r="A547" t="s">
        <v>106</v>
      </c>
      <c r="B547" t="s">
        <v>3</v>
      </c>
      <c r="C547" s="1" t="str">
        <f>HYPERLINK("http://продеталь.рф/search.html?article=200013012","200013012")</f>
        <v>200013012</v>
      </c>
      <c r="D547" t="s">
        <v>4</v>
      </c>
    </row>
    <row r="548" spans="1:4" outlineLevel="1" x14ac:dyDescent="0.25">
      <c r="A548" t="s">
        <v>106</v>
      </c>
      <c r="B548" t="s">
        <v>107</v>
      </c>
      <c r="C548" s="1" t="str">
        <f>HYPERLINK("http://продеталь.рф/search.html?article=1AG009059021","1AG009059021")</f>
        <v>1AG009059021</v>
      </c>
      <c r="D548" t="s">
        <v>43</v>
      </c>
    </row>
    <row r="549" spans="1:4" outlineLevel="1" x14ac:dyDescent="0.25">
      <c r="A549" t="s">
        <v>106</v>
      </c>
      <c r="B549" t="s">
        <v>5</v>
      </c>
      <c r="C549" s="1" t="str">
        <f>HYPERLINK("http://продеталь.рф/search.html?article=BM11013AL","BM11013AL")</f>
        <v>BM11013AL</v>
      </c>
      <c r="D549" t="s">
        <v>2</v>
      </c>
    </row>
    <row r="550" spans="1:4" outlineLevel="1" x14ac:dyDescent="0.25">
      <c r="A550" t="s">
        <v>106</v>
      </c>
      <c r="B550" t="s">
        <v>5</v>
      </c>
      <c r="C550" s="1" t="str">
        <f>HYPERLINK("http://продеталь.рф/search.html?article=BM11013AR","BM11013AR")</f>
        <v>BM11013AR</v>
      </c>
      <c r="D550" t="s">
        <v>2</v>
      </c>
    </row>
    <row r="551" spans="1:4" outlineLevel="1" x14ac:dyDescent="0.25">
      <c r="A551" t="s">
        <v>106</v>
      </c>
      <c r="B551" t="s">
        <v>5</v>
      </c>
      <c r="C551" s="1" t="str">
        <f>HYPERLINK("http://продеталь.рф/search.html?article=213025A","213025A")</f>
        <v>213025A</v>
      </c>
      <c r="D551" t="s">
        <v>21</v>
      </c>
    </row>
    <row r="552" spans="1:4" outlineLevel="1" x14ac:dyDescent="0.25">
      <c r="A552" t="s">
        <v>106</v>
      </c>
      <c r="B552" t="s">
        <v>5</v>
      </c>
      <c r="C552" s="1" t="str">
        <f>HYPERLINK("http://продеталь.рф/search.html?article=213026A","213026A")</f>
        <v>213026A</v>
      </c>
      <c r="D552" t="s">
        <v>21</v>
      </c>
    </row>
    <row r="553" spans="1:4" outlineLevel="1" x14ac:dyDescent="0.25">
      <c r="A553" t="s">
        <v>106</v>
      </c>
      <c r="B553" t="s">
        <v>5</v>
      </c>
      <c r="C553" s="1" t="str">
        <f>HYPERLINK("http://продеталь.рф/search.html?article=213015B","213015B")</f>
        <v>213015B</v>
      </c>
      <c r="D553" t="s">
        <v>21</v>
      </c>
    </row>
    <row r="554" spans="1:4" outlineLevel="1" x14ac:dyDescent="0.25">
      <c r="A554" t="s">
        <v>106</v>
      </c>
      <c r="B554" t="s">
        <v>5</v>
      </c>
      <c r="C554" s="1" t="str">
        <f>HYPERLINK("http://продеталь.рф/search.html?article=213016B","213016B")</f>
        <v>213016B</v>
      </c>
      <c r="D554" t="s">
        <v>21</v>
      </c>
    </row>
    <row r="555" spans="1:4" outlineLevel="1" x14ac:dyDescent="0.25">
      <c r="A555" t="s">
        <v>106</v>
      </c>
      <c r="B555" t="s">
        <v>5</v>
      </c>
      <c r="C555" s="1" t="str">
        <f>HYPERLINK("http://продеталь.рф/search.html?article=PBM11013CL","PBM11013CL")</f>
        <v>PBM11013CL</v>
      </c>
      <c r="D555" t="s">
        <v>6</v>
      </c>
    </row>
    <row r="556" spans="1:4" outlineLevel="1" x14ac:dyDescent="0.25">
      <c r="A556" t="s">
        <v>106</v>
      </c>
      <c r="B556" t="s">
        <v>5</v>
      </c>
      <c r="C556" s="1" t="str">
        <f>HYPERLINK("http://продеталь.рф/search.html?article=PBM11013CR","PBM11013CR")</f>
        <v>PBM11013CR</v>
      </c>
      <c r="D556" t="s">
        <v>6</v>
      </c>
    </row>
    <row r="557" spans="1:4" outlineLevel="1" x14ac:dyDescent="0.25">
      <c r="A557" t="s">
        <v>106</v>
      </c>
      <c r="B557" t="s">
        <v>5</v>
      </c>
      <c r="C557" s="1" t="str">
        <f>HYPERLINK("http://продеталь.рф/search.html?article=213023A","213023A")</f>
        <v>213023A</v>
      </c>
      <c r="D557" t="s">
        <v>21</v>
      </c>
    </row>
    <row r="558" spans="1:4" outlineLevel="1" x14ac:dyDescent="0.25">
      <c r="A558" t="s">
        <v>106</v>
      </c>
      <c r="B558" t="s">
        <v>5</v>
      </c>
      <c r="C558" s="1" t="str">
        <f>HYPERLINK("http://продеталь.рф/search.html?article=213024A","213024A")</f>
        <v>213024A</v>
      </c>
      <c r="D558" t="s">
        <v>21</v>
      </c>
    </row>
    <row r="559" spans="1:4" outlineLevel="1" x14ac:dyDescent="0.25">
      <c r="A559" t="s">
        <v>106</v>
      </c>
      <c r="B559" t="s">
        <v>5</v>
      </c>
      <c r="C559" s="1" t="str">
        <f>HYPERLINK("http://продеталь.рф/search.html?article=BM11018BR","BM11018BR")</f>
        <v>BM11018BR</v>
      </c>
      <c r="D559" t="s">
        <v>2</v>
      </c>
    </row>
    <row r="560" spans="1:4" outlineLevel="1" x14ac:dyDescent="0.25">
      <c r="A560" t="s">
        <v>106</v>
      </c>
      <c r="B560" t="s">
        <v>5</v>
      </c>
      <c r="C560" s="1" t="str">
        <f>HYPERLINK("http://продеталь.рф/search.html?article=BM11018BL","BM11018BL")</f>
        <v>BM11018BL</v>
      </c>
      <c r="D560" t="s">
        <v>2</v>
      </c>
    </row>
    <row r="561" spans="1:4" outlineLevel="1" x14ac:dyDescent="0.25">
      <c r="A561" t="s">
        <v>106</v>
      </c>
      <c r="B561" t="s">
        <v>19</v>
      </c>
      <c r="C561" s="1" t="str">
        <f>HYPERLINK("http://продеталь.рф/search.html?article=195242059","195242059")</f>
        <v>195242059</v>
      </c>
      <c r="D561" t="s">
        <v>4</v>
      </c>
    </row>
    <row r="562" spans="1:4" outlineLevel="1" x14ac:dyDescent="0.25">
      <c r="A562" t="s">
        <v>106</v>
      </c>
      <c r="B562" t="s">
        <v>19</v>
      </c>
      <c r="C562" s="1" t="str">
        <f>HYPERLINK("http://продеталь.рф/search.html?article=195710019","195710019")</f>
        <v>195710019</v>
      </c>
      <c r="D562" t="s">
        <v>4</v>
      </c>
    </row>
    <row r="563" spans="1:4" outlineLevel="1" x14ac:dyDescent="0.25">
      <c r="A563" t="s">
        <v>106</v>
      </c>
      <c r="B563" t="s">
        <v>39</v>
      </c>
      <c r="C563" s="1" t="str">
        <f>HYPERLINK("http://продеталь.рф/search.html?article=AFBM103","AFBM103")</f>
        <v>AFBM103</v>
      </c>
      <c r="D563" t="s">
        <v>6</v>
      </c>
    </row>
    <row r="564" spans="1:4" outlineLevel="1" x14ac:dyDescent="0.25">
      <c r="A564" t="s">
        <v>106</v>
      </c>
      <c r="B564" t="s">
        <v>40</v>
      </c>
      <c r="C564" s="1" t="str">
        <f>HYPERLINK("http://продеталь.рф/search.html?article=BM330000G0000","BM330000G0000")</f>
        <v>BM330000G0000</v>
      </c>
      <c r="D564" t="s">
        <v>9</v>
      </c>
    </row>
    <row r="565" spans="1:4" outlineLevel="1" x14ac:dyDescent="0.25">
      <c r="A565" t="s">
        <v>106</v>
      </c>
      <c r="B565" t="s">
        <v>40</v>
      </c>
      <c r="C565" s="1" t="str">
        <f>HYPERLINK("http://продеталь.рф/search.html?article=BM33000G2","BM33000G2")</f>
        <v>BM33000G2</v>
      </c>
      <c r="D565" t="s">
        <v>9</v>
      </c>
    </row>
    <row r="566" spans="1:4" outlineLevel="1" x14ac:dyDescent="0.25">
      <c r="A566" t="s">
        <v>106</v>
      </c>
      <c r="B566" t="s">
        <v>40</v>
      </c>
      <c r="C566" s="1" t="str">
        <f>HYPERLINK("http://продеталь.рф/search.html?article=BM33000G1","BM33000G1")</f>
        <v>BM33000G1</v>
      </c>
      <c r="D566" t="s">
        <v>9</v>
      </c>
    </row>
    <row r="567" spans="1:4" outlineLevel="1" x14ac:dyDescent="0.25">
      <c r="A567" t="s">
        <v>106</v>
      </c>
      <c r="B567" t="s">
        <v>40</v>
      </c>
      <c r="C567" s="1" t="str">
        <f>HYPERLINK("http://продеталь.рф/search.html?article=PBM99016GAC","PBM99016GAC")</f>
        <v>PBM99016GAC</v>
      </c>
      <c r="D567" t="s">
        <v>6</v>
      </c>
    </row>
    <row r="568" spans="1:4" outlineLevel="1" x14ac:dyDescent="0.25">
      <c r="A568" t="s">
        <v>106</v>
      </c>
      <c r="B568" t="s">
        <v>40</v>
      </c>
      <c r="C568" s="1" t="str">
        <f>HYPERLINK("http://продеталь.рф/search.html?article=PBM99016GAR","PBM99016GAR")</f>
        <v>PBM99016GAR</v>
      </c>
      <c r="D568" t="s">
        <v>6</v>
      </c>
    </row>
    <row r="569" spans="1:4" outlineLevel="1" x14ac:dyDescent="0.25">
      <c r="A569" t="s">
        <v>106</v>
      </c>
      <c r="B569" t="s">
        <v>40</v>
      </c>
      <c r="C569" s="1" t="str">
        <f>HYPERLINK("http://продеталь.рф/search.html?article=PBM99039GAR","PBM99039GAR")</f>
        <v>PBM99039GAR</v>
      </c>
      <c r="D569" t="s">
        <v>6</v>
      </c>
    </row>
    <row r="570" spans="1:4" outlineLevel="1" x14ac:dyDescent="0.25">
      <c r="A570" t="s">
        <v>106</v>
      </c>
      <c r="B570" t="s">
        <v>12</v>
      </c>
      <c r="C570" s="1" t="str">
        <f>HYPERLINK("http://продеталь.рф/search.html?article=UBA0432302","UBA0432302")</f>
        <v>UBA0432302</v>
      </c>
      <c r="D570" t="s">
        <v>2</v>
      </c>
    </row>
    <row r="571" spans="1:4" outlineLevel="1" x14ac:dyDescent="0.25">
      <c r="A571" t="s">
        <v>106</v>
      </c>
      <c r="B571" t="s">
        <v>12</v>
      </c>
      <c r="C571" s="1" t="str">
        <f>HYPERLINK("http://продеталь.рф/search.html?article=BM33093H2","BM33093H2")</f>
        <v>BM33093H2</v>
      </c>
      <c r="D571" t="s">
        <v>9</v>
      </c>
    </row>
    <row r="572" spans="1:4" outlineLevel="1" x14ac:dyDescent="0.25">
      <c r="A572" t="s">
        <v>106</v>
      </c>
      <c r="B572" t="s">
        <v>12</v>
      </c>
      <c r="C572" s="1" t="str">
        <f>HYPERLINK("http://продеталь.рф/search.html?article=BM33093H1","BM33093H1")</f>
        <v>BM33093H1</v>
      </c>
      <c r="D572" t="s">
        <v>9</v>
      </c>
    </row>
    <row r="573" spans="1:4" outlineLevel="1" x14ac:dyDescent="0.25">
      <c r="A573" t="s">
        <v>106</v>
      </c>
      <c r="B573" t="s">
        <v>12</v>
      </c>
      <c r="C573" s="1" t="str">
        <f>HYPERLINK("http://продеталь.рф/search.html?article=BM33093E2","BM33093E2")</f>
        <v>BM33093E2</v>
      </c>
      <c r="D573" t="s">
        <v>9</v>
      </c>
    </row>
    <row r="574" spans="1:4" outlineLevel="1" x14ac:dyDescent="0.25">
      <c r="A574" t="s">
        <v>106</v>
      </c>
      <c r="B574" t="s">
        <v>12</v>
      </c>
      <c r="C574" s="1" t="str">
        <f>HYPERLINK("http://продеталь.рф/search.html?article=BM33093E1","BM33093E1")</f>
        <v>BM33093E1</v>
      </c>
      <c r="D574" t="s">
        <v>9</v>
      </c>
    </row>
    <row r="575" spans="1:4" outlineLevel="1" x14ac:dyDescent="0.25">
      <c r="A575" t="s">
        <v>106</v>
      </c>
      <c r="B575" t="s">
        <v>12</v>
      </c>
      <c r="C575" s="1" t="str">
        <f>HYPERLINK("http://продеталь.рф/search.html?article=BM33093K1","BM33093K1")</f>
        <v>BM33093K1</v>
      </c>
      <c r="D575" t="s">
        <v>9</v>
      </c>
    </row>
    <row r="576" spans="1:4" outlineLevel="1" x14ac:dyDescent="0.25">
      <c r="A576" t="s">
        <v>106</v>
      </c>
      <c r="B576" t="s">
        <v>32</v>
      </c>
      <c r="C576" s="1" t="str">
        <f>HYPERLINK("http://продеталь.рф/search.html?article=SBMM1004CLR","SBMM1004CLR")</f>
        <v>SBMM1004CLR</v>
      </c>
      <c r="D576" t="s">
        <v>6</v>
      </c>
    </row>
    <row r="577" spans="1:4" outlineLevel="1" x14ac:dyDescent="0.25">
      <c r="A577" t="s">
        <v>106</v>
      </c>
      <c r="B577" t="s">
        <v>16</v>
      </c>
      <c r="C577" s="1" t="str">
        <f>HYPERLINK("http://продеталь.рф/search.html?article=185420052","185420052")</f>
        <v>185420052</v>
      </c>
      <c r="D577" t="s">
        <v>4</v>
      </c>
    </row>
    <row r="578" spans="1:4" outlineLevel="1" x14ac:dyDescent="0.25">
      <c r="A578" t="s">
        <v>106</v>
      </c>
      <c r="B578" t="s">
        <v>16</v>
      </c>
      <c r="C578" s="1" t="str">
        <f>HYPERLINK("http://продеталь.рф/search.html?article=185419052","185419052")</f>
        <v>185419052</v>
      </c>
      <c r="D578" t="s">
        <v>4</v>
      </c>
    </row>
    <row r="579" spans="1:4" outlineLevel="1" x14ac:dyDescent="0.25">
      <c r="A579" t="s">
        <v>106</v>
      </c>
      <c r="B579" t="s">
        <v>16</v>
      </c>
      <c r="C579" s="1" t="str">
        <f>HYPERLINK("http://продеталь.рф/search.html?article=185914052","185914052")</f>
        <v>185914052</v>
      </c>
      <c r="D579" t="s">
        <v>4</v>
      </c>
    </row>
    <row r="580" spans="1:4" outlineLevel="1" x14ac:dyDescent="0.25">
      <c r="A580" t="s">
        <v>106</v>
      </c>
      <c r="B580" t="s">
        <v>16</v>
      </c>
      <c r="C580" s="1" t="str">
        <f>HYPERLINK("http://продеталь.рф/search.html?article=180164152","180164152")</f>
        <v>180164152</v>
      </c>
      <c r="D580" t="s">
        <v>4</v>
      </c>
    </row>
    <row r="581" spans="1:4" outlineLevel="1" x14ac:dyDescent="0.25">
      <c r="A581" t="s">
        <v>106</v>
      </c>
      <c r="B581" t="s">
        <v>16</v>
      </c>
      <c r="C581" s="1" t="str">
        <f>HYPERLINK("http://продеталь.рф/search.html?article=180163152","180163152")</f>
        <v>180163152</v>
      </c>
      <c r="D581" t="s">
        <v>4</v>
      </c>
    </row>
    <row r="582" spans="1:4" outlineLevel="1" x14ac:dyDescent="0.25">
      <c r="A582" t="s">
        <v>106</v>
      </c>
      <c r="B582" t="s">
        <v>16</v>
      </c>
      <c r="C582" s="1" t="str">
        <f>HYPERLINK("http://продеталь.рф/search.html?article=180164052","180164052")</f>
        <v>180164052</v>
      </c>
      <c r="D582" t="s">
        <v>4</v>
      </c>
    </row>
    <row r="583" spans="1:4" outlineLevel="1" x14ac:dyDescent="0.25">
      <c r="A583" t="s">
        <v>106</v>
      </c>
      <c r="B583" t="s">
        <v>16</v>
      </c>
      <c r="C583" s="1" t="str">
        <f>HYPERLINK("http://продеталь.рф/search.html?article=185914152","185914152")</f>
        <v>185914152</v>
      </c>
      <c r="D583" t="s">
        <v>4</v>
      </c>
    </row>
    <row r="584" spans="1:4" outlineLevel="1" x14ac:dyDescent="0.25">
      <c r="A584" t="s">
        <v>106</v>
      </c>
      <c r="B584" t="s">
        <v>16</v>
      </c>
      <c r="C584" s="1" t="str">
        <f>HYPERLINK("http://продеталь.рф/search.html?article=185913152","185913152")</f>
        <v>185913152</v>
      </c>
      <c r="D584" t="s">
        <v>4</v>
      </c>
    </row>
    <row r="585" spans="1:4" outlineLevel="1" x14ac:dyDescent="0.25">
      <c r="A585" t="s">
        <v>106</v>
      </c>
      <c r="B585" t="s">
        <v>75</v>
      </c>
      <c r="C585" s="1" t="str">
        <f>HYPERLINK("http://продеталь.рф/search.html?article=185354152","185354152")</f>
        <v>185354152</v>
      </c>
      <c r="D585" t="s">
        <v>4</v>
      </c>
    </row>
    <row r="586" spans="1:4" outlineLevel="1" x14ac:dyDescent="0.25">
      <c r="A586" t="s">
        <v>106</v>
      </c>
      <c r="B586" t="s">
        <v>75</v>
      </c>
      <c r="C586" s="1" t="str">
        <f>HYPERLINK("http://продеталь.рф/search.html?article=185353152","185353152")</f>
        <v>185353152</v>
      </c>
      <c r="D586" t="s">
        <v>4</v>
      </c>
    </row>
    <row r="587" spans="1:4" outlineLevel="1" x14ac:dyDescent="0.25">
      <c r="A587" t="s">
        <v>106</v>
      </c>
      <c r="B587" t="s">
        <v>75</v>
      </c>
      <c r="C587" s="1" t="str">
        <f>HYPERLINK("http://продеталь.рф/search.html?article=185354252","185354252")</f>
        <v>185354252</v>
      </c>
      <c r="D587" t="s">
        <v>4</v>
      </c>
    </row>
    <row r="588" spans="1:4" outlineLevel="1" x14ac:dyDescent="0.25">
      <c r="A588" t="s">
        <v>106</v>
      </c>
      <c r="B588" t="s">
        <v>75</v>
      </c>
      <c r="C588" s="1" t="str">
        <f>HYPERLINK("http://продеталь.рф/search.html?article=185353252","185353252")</f>
        <v>185353252</v>
      </c>
      <c r="D588" t="s">
        <v>4</v>
      </c>
    </row>
    <row r="589" spans="1:4" outlineLevel="1" x14ac:dyDescent="0.25">
      <c r="A589" t="s">
        <v>106</v>
      </c>
      <c r="B589" t="s">
        <v>75</v>
      </c>
      <c r="C589" s="1" t="str">
        <f>HYPERLINK("http://продеталь.рф/search.html?article=1853530075Z3","1853530075Z3")</f>
        <v>1853530075Z3</v>
      </c>
      <c r="D589" t="s">
        <v>4</v>
      </c>
    </row>
    <row r="590" spans="1:4" x14ac:dyDescent="0.25">
      <c r="A590" t="s">
        <v>108</v>
      </c>
      <c r="B590" s="2" t="s">
        <v>108</v>
      </c>
      <c r="C590" s="2"/>
      <c r="D590" s="2"/>
    </row>
    <row r="591" spans="1:4" outlineLevel="1" x14ac:dyDescent="0.25">
      <c r="A591" t="s">
        <v>108</v>
      </c>
      <c r="B591" t="s">
        <v>11</v>
      </c>
      <c r="C591" s="1" t="str">
        <f>HYPERLINK("http://продеталь.рф/search.html?article=BM04023BA","BM04023BA")</f>
        <v>BM04023BA</v>
      </c>
      <c r="D591" t="s">
        <v>2</v>
      </c>
    </row>
    <row r="592" spans="1:4" outlineLevel="1" x14ac:dyDescent="0.25">
      <c r="A592" t="s">
        <v>108</v>
      </c>
      <c r="B592" t="s">
        <v>101</v>
      </c>
      <c r="C592" s="1" t="str">
        <f>HYPERLINK("http://продеталь.рф/search.html?article=BM99038CA","BM99038CA")</f>
        <v>BM99038CA</v>
      </c>
      <c r="D592" t="s">
        <v>2</v>
      </c>
    </row>
    <row r="593" spans="1:4" outlineLevel="1" x14ac:dyDescent="0.25">
      <c r="A593" t="s">
        <v>108</v>
      </c>
      <c r="B593" t="s">
        <v>92</v>
      </c>
      <c r="C593" s="1" t="str">
        <f>HYPERLINK("http://продеталь.рф/search.html?article=BM340000M0L00","BM340000M0L00")</f>
        <v>BM340000M0L00</v>
      </c>
      <c r="D593" t="s">
        <v>9</v>
      </c>
    </row>
    <row r="594" spans="1:4" outlineLevel="1" x14ac:dyDescent="0.25">
      <c r="A594" t="s">
        <v>108</v>
      </c>
      <c r="B594" t="s">
        <v>27</v>
      </c>
      <c r="C594" s="1" t="str">
        <f>HYPERLINK("http://продеталь.рф/search.html?article=BM03002A","BM03002A")</f>
        <v>BM03002A</v>
      </c>
      <c r="D594" t="s">
        <v>2</v>
      </c>
    </row>
    <row r="595" spans="1:4" outlineLevel="1" x14ac:dyDescent="0.25">
      <c r="A595" t="s">
        <v>108</v>
      </c>
      <c r="B595" t="s">
        <v>5</v>
      </c>
      <c r="C595" s="1" t="str">
        <f>HYPERLINK("http://продеталь.рф/search.html?article=PBM11028AL","PBM11028AL")</f>
        <v>PBM11028AL</v>
      </c>
      <c r="D595" t="s">
        <v>6</v>
      </c>
    </row>
    <row r="596" spans="1:4" outlineLevel="1" x14ac:dyDescent="0.25">
      <c r="A596" t="s">
        <v>108</v>
      </c>
      <c r="B596" t="s">
        <v>5</v>
      </c>
      <c r="C596" s="1" t="str">
        <f>HYPERLINK("http://продеталь.рф/search.html?article=PBM11028AR","PBM11028AR")</f>
        <v>PBM11028AR</v>
      </c>
      <c r="D596" t="s">
        <v>6</v>
      </c>
    </row>
    <row r="597" spans="1:4" outlineLevel="1" x14ac:dyDescent="0.25">
      <c r="A597" t="s">
        <v>108</v>
      </c>
      <c r="B597" t="s">
        <v>5</v>
      </c>
      <c r="C597" s="1" t="str">
        <f>HYPERLINK("http://продеталь.рф/search.html?article=PBM11028BR","PBM11028BR")</f>
        <v>PBM11028BR</v>
      </c>
      <c r="D597" t="s">
        <v>6</v>
      </c>
    </row>
    <row r="598" spans="1:4" outlineLevel="1" x14ac:dyDescent="0.25">
      <c r="A598" t="s">
        <v>108</v>
      </c>
      <c r="B598" t="s">
        <v>40</v>
      </c>
      <c r="C598" s="1" t="str">
        <f>HYPERLINK("http://продеталь.рф/search.html?article=PBM99038GAL","PBM99038GAL")</f>
        <v>PBM99038GAL</v>
      </c>
      <c r="D598" t="s">
        <v>6</v>
      </c>
    </row>
    <row r="599" spans="1:4" outlineLevel="1" x14ac:dyDescent="0.25">
      <c r="A599" t="s">
        <v>108</v>
      </c>
      <c r="B599" t="s">
        <v>40</v>
      </c>
      <c r="C599" s="1" t="str">
        <f>HYPERLINK("http://продеталь.рф/search.html?article=PBM99038GAR","PBM99038GAR")</f>
        <v>PBM99038GAR</v>
      </c>
      <c r="D599" t="s">
        <v>6</v>
      </c>
    </row>
    <row r="600" spans="1:4" outlineLevel="1" x14ac:dyDescent="0.25">
      <c r="A600" t="s">
        <v>108</v>
      </c>
      <c r="B600" t="s">
        <v>12</v>
      </c>
      <c r="C600" s="1" t="str">
        <f>HYPERLINK("http://продеталь.рф/search.html?article=BM34093A1","BM34093A1")</f>
        <v>BM34093A1</v>
      </c>
      <c r="D600" t="s">
        <v>9</v>
      </c>
    </row>
    <row r="601" spans="1:4" outlineLevel="1" x14ac:dyDescent="0.25">
      <c r="A601" t="s">
        <v>108</v>
      </c>
      <c r="B601" t="s">
        <v>12</v>
      </c>
      <c r="C601" s="1" t="str">
        <f>HYPERLINK("http://продеталь.рф/search.html?article=BM340932","BM340932")</f>
        <v>BM340932</v>
      </c>
      <c r="D601" t="s">
        <v>9</v>
      </c>
    </row>
    <row r="602" spans="1:4" outlineLevel="1" x14ac:dyDescent="0.25">
      <c r="A602" t="s">
        <v>108</v>
      </c>
      <c r="B602" t="s">
        <v>12</v>
      </c>
      <c r="C602" s="1" t="str">
        <f>HYPERLINK("http://продеталь.рф/search.html?article=BM340931","BM340931")</f>
        <v>BM340931</v>
      </c>
      <c r="D602" t="s">
        <v>9</v>
      </c>
    </row>
    <row r="603" spans="1:4" outlineLevel="1" x14ac:dyDescent="0.25">
      <c r="A603" t="s">
        <v>108</v>
      </c>
      <c r="B603" t="s">
        <v>13</v>
      </c>
      <c r="C603" s="1" t="str">
        <f>HYPERLINK("http://продеталь.рф/search.html?article=BM34000R0","BM34000R0")</f>
        <v>BM34000R0</v>
      </c>
      <c r="D603" t="s">
        <v>9</v>
      </c>
    </row>
    <row r="604" spans="1:4" x14ac:dyDescent="0.25">
      <c r="A604" t="s">
        <v>109</v>
      </c>
      <c r="B604" s="2" t="s">
        <v>109</v>
      </c>
      <c r="C604" s="2"/>
      <c r="D604" s="2"/>
    </row>
    <row r="605" spans="1:4" outlineLevel="1" x14ac:dyDescent="0.25">
      <c r="A605" t="s">
        <v>109</v>
      </c>
      <c r="B605" t="s">
        <v>12</v>
      </c>
      <c r="C605" s="1" t="str">
        <f>HYPERLINK("http://продеталь.рф/search.html?article=BM07004GAC","BM07004GAC")</f>
        <v>BM07004GAC</v>
      </c>
      <c r="D605" t="s">
        <v>2</v>
      </c>
    </row>
    <row r="606" spans="1:4" x14ac:dyDescent="0.25">
      <c r="A606" t="s">
        <v>110</v>
      </c>
      <c r="B606" s="2" t="s">
        <v>110</v>
      </c>
      <c r="C606" s="2"/>
      <c r="D606" s="2"/>
    </row>
    <row r="607" spans="1:4" outlineLevel="1" x14ac:dyDescent="0.25">
      <c r="A607" t="s">
        <v>110</v>
      </c>
      <c r="B607" t="s">
        <v>11</v>
      </c>
      <c r="C607" s="1" t="str">
        <f>HYPERLINK("http://продеталь.рф/search.html?article=BM520000","BM520000")</f>
        <v>BM520000</v>
      </c>
      <c r="D607" t="s">
        <v>9</v>
      </c>
    </row>
    <row r="608" spans="1:4" outlineLevel="1" x14ac:dyDescent="0.25">
      <c r="A608" t="s">
        <v>110</v>
      </c>
      <c r="B608" t="s">
        <v>15</v>
      </c>
      <c r="C608" s="1" t="str">
        <f>HYPERLINK("http://продеталь.рф/search.html?article=VBMM1001KER","VBMM1001KER")</f>
        <v>VBMM1001KER</v>
      </c>
      <c r="D608" t="s">
        <v>6</v>
      </c>
    </row>
    <row r="609" spans="1:4" outlineLevel="1" x14ac:dyDescent="0.25">
      <c r="A609" t="s">
        <v>110</v>
      </c>
      <c r="B609" t="s">
        <v>111</v>
      </c>
      <c r="C609" s="1" t="str">
        <f>HYPERLINK("http://продеталь.рф/search.html?article=BM990099R0000","BM990099R0000")</f>
        <v>BM990099R0000</v>
      </c>
      <c r="D609" t="s">
        <v>9</v>
      </c>
    </row>
    <row r="610" spans="1:4" outlineLevel="1" x14ac:dyDescent="0.25">
      <c r="A610" t="s">
        <v>110</v>
      </c>
      <c r="B610" t="s">
        <v>101</v>
      </c>
      <c r="C610" s="1" t="str">
        <f>HYPERLINK("http://продеталь.рф/search.html?article=BM99021AL","BM99021AL")</f>
        <v>BM99021AL</v>
      </c>
      <c r="D610" t="s">
        <v>2</v>
      </c>
    </row>
    <row r="611" spans="1:4" outlineLevel="1" x14ac:dyDescent="0.25">
      <c r="A611" t="s">
        <v>110</v>
      </c>
      <c r="B611" t="s">
        <v>101</v>
      </c>
      <c r="C611" s="1" t="str">
        <f>HYPERLINK("http://продеталь.рф/search.html?article=PBM99021AR","PBM99021AR")</f>
        <v>PBM99021AR</v>
      </c>
      <c r="D611" t="s">
        <v>6</v>
      </c>
    </row>
    <row r="612" spans="1:4" outlineLevel="1" x14ac:dyDescent="0.25">
      <c r="A612" t="s">
        <v>110</v>
      </c>
      <c r="B612" t="s">
        <v>112</v>
      </c>
      <c r="C612" s="1" t="str">
        <f>HYPERLINK("http://продеталь.рф/search.html?article=ZBM1903KYL","ZBM1903KYL")</f>
        <v>ZBM1903KYL</v>
      </c>
      <c r="D612" t="s">
        <v>6</v>
      </c>
    </row>
    <row r="613" spans="1:4" outlineLevel="1" x14ac:dyDescent="0.25">
      <c r="A613" t="s">
        <v>110</v>
      </c>
      <c r="B613" t="s">
        <v>45</v>
      </c>
      <c r="C613" s="1" t="str">
        <f>HYPERLINK("http://продеталь.рф/search.html?article=0057581","0057581")</f>
        <v>0057581</v>
      </c>
      <c r="D613" t="s">
        <v>46</v>
      </c>
    </row>
    <row r="614" spans="1:4" outlineLevel="1" x14ac:dyDescent="0.25">
      <c r="A614" t="s">
        <v>110</v>
      </c>
      <c r="B614" t="s">
        <v>45</v>
      </c>
      <c r="C614" s="1" t="str">
        <f>HYPERLINK("http://продеталь.рф/search.html?article=0057582","0057582")</f>
        <v>0057582</v>
      </c>
      <c r="D614" t="s">
        <v>46</v>
      </c>
    </row>
    <row r="615" spans="1:4" outlineLevel="1" x14ac:dyDescent="0.25">
      <c r="A615" t="s">
        <v>110</v>
      </c>
      <c r="B615" t="s">
        <v>1</v>
      </c>
      <c r="C615" s="1" t="str">
        <f>HYPERLINK("http://продеталь.рф/search.html?article=BM20005A","BM20005A")</f>
        <v>BM20005A</v>
      </c>
      <c r="D615" t="s">
        <v>2</v>
      </c>
    </row>
    <row r="616" spans="1:4" outlineLevel="1" x14ac:dyDescent="0.25">
      <c r="A616" t="s">
        <v>110</v>
      </c>
      <c r="B616" t="s">
        <v>1</v>
      </c>
      <c r="C616" s="1" t="str">
        <f>HYPERLINK("http://продеталь.рф/search.html?article=BM20008A","BM20008A")</f>
        <v>BM20008A</v>
      </c>
      <c r="D616" t="s">
        <v>2</v>
      </c>
    </row>
    <row r="617" spans="1:4" outlineLevel="1" x14ac:dyDescent="0.25">
      <c r="A617" t="s">
        <v>110</v>
      </c>
      <c r="B617" t="s">
        <v>84</v>
      </c>
      <c r="C617" s="1" t="str">
        <f>HYPERLINK("http://продеталь.рф/search.html?article=BM520087U1000","BM520087U1000")</f>
        <v>BM520087U1000</v>
      </c>
      <c r="D617" t="s">
        <v>9</v>
      </c>
    </row>
    <row r="618" spans="1:4" outlineLevel="1" x14ac:dyDescent="0.25">
      <c r="A618" t="s">
        <v>110</v>
      </c>
      <c r="B618" t="s">
        <v>84</v>
      </c>
      <c r="C618" s="1" t="str">
        <f>HYPERLINK("http://продеталь.рф/search.html?article=BM52000UA0","BM52000UA0")</f>
        <v>BM52000UA0</v>
      </c>
      <c r="D618" t="s">
        <v>9</v>
      </c>
    </row>
    <row r="619" spans="1:4" outlineLevel="1" x14ac:dyDescent="0.25">
      <c r="A619" t="s">
        <v>110</v>
      </c>
      <c r="B619" t="s">
        <v>84</v>
      </c>
      <c r="C619" s="1" t="str">
        <f>HYPERLINK("http://продеталь.рф/search.html?article=BM520000U2000","BM520000U2000")</f>
        <v>BM520000U2000</v>
      </c>
      <c r="D619" t="s">
        <v>9</v>
      </c>
    </row>
    <row r="620" spans="1:4" outlineLevel="1" x14ac:dyDescent="0.25">
      <c r="A620" t="s">
        <v>110</v>
      </c>
      <c r="B620" t="s">
        <v>24</v>
      </c>
      <c r="C620" s="1" t="str">
        <f>HYPERLINK("http://продеталь.рф/search.html?article=BM10004AL","BM10004AL")</f>
        <v>BM10004AL</v>
      </c>
      <c r="D620" t="s">
        <v>2</v>
      </c>
    </row>
    <row r="621" spans="1:4" outlineLevel="1" x14ac:dyDescent="0.25">
      <c r="A621" t="s">
        <v>110</v>
      </c>
      <c r="B621" t="s">
        <v>24</v>
      </c>
      <c r="C621" s="1" t="str">
        <f>HYPERLINK("http://продеталь.рф/search.html?article=BM10004AR","BM10004AR")</f>
        <v>BM10004AR</v>
      </c>
      <c r="D621" t="s">
        <v>2</v>
      </c>
    </row>
    <row r="622" spans="1:4" outlineLevel="1" x14ac:dyDescent="0.25">
      <c r="A622" t="s">
        <v>110</v>
      </c>
      <c r="B622" t="s">
        <v>103</v>
      </c>
      <c r="C622" s="1" t="str">
        <f>HYPERLINK("http://продеталь.рф/search.html?article=BM99003CAL","BM99003CAL")</f>
        <v>BM99003CAL</v>
      </c>
      <c r="D622" t="s">
        <v>2</v>
      </c>
    </row>
    <row r="623" spans="1:4" outlineLevel="1" x14ac:dyDescent="0.25">
      <c r="A623" t="s">
        <v>110</v>
      </c>
      <c r="B623" t="s">
        <v>103</v>
      </c>
      <c r="C623" s="1" t="str">
        <f>HYPERLINK("http://продеталь.рф/search.html?article=BM99003CAR","BM99003CAR")</f>
        <v>BM99003CAR</v>
      </c>
      <c r="D623" t="s">
        <v>2</v>
      </c>
    </row>
    <row r="624" spans="1:4" outlineLevel="1" x14ac:dyDescent="0.25">
      <c r="A624" t="s">
        <v>110</v>
      </c>
      <c r="B624" t="s">
        <v>37</v>
      </c>
      <c r="C624" s="1" t="str">
        <f>HYPERLINK("http://продеталь.рф/search.html?article=BM87005AL","BM87005AL")</f>
        <v>BM87005AL</v>
      </c>
      <c r="D624" t="s">
        <v>2</v>
      </c>
    </row>
    <row r="625" spans="1:4" outlineLevel="1" x14ac:dyDescent="0.25">
      <c r="A625" t="s">
        <v>110</v>
      </c>
      <c r="B625" t="s">
        <v>38</v>
      </c>
      <c r="C625" s="1" t="str">
        <f>HYPERLINK("http://продеталь.рф/search.html?article=BM52016VA1","BM52016VA1")</f>
        <v>BM52016VA1</v>
      </c>
      <c r="D625" t="s">
        <v>9</v>
      </c>
    </row>
    <row r="626" spans="1:4" outlineLevel="1" x14ac:dyDescent="0.25">
      <c r="A626" t="s">
        <v>110</v>
      </c>
      <c r="B626" t="s">
        <v>38</v>
      </c>
      <c r="C626" s="1" t="str">
        <f>HYPERLINK("http://продеталь.рф/search.html?article=BM52064AA1","BM52064AA1")</f>
        <v>BM52064AA1</v>
      </c>
      <c r="D626" t="s">
        <v>9</v>
      </c>
    </row>
    <row r="627" spans="1:4" outlineLevel="1" x14ac:dyDescent="0.25">
      <c r="A627" t="s">
        <v>110</v>
      </c>
      <c r="B627" t="s">
        <v>26</v>
      </c>
      <c r="C627" s="1" t="str">
        <f>HYPERLINK("http://продеталь.рф/search.html?article=BM99001MAL","BM99001MAL")</f>
        <v>BM99001MAL</v>
      </c>
      <c r="D627" t="s">
        <v>2</v>
      </c>
    </row>
    <row r="628" spans="1:4" outlineLevel="1" x14ac:dyDescent="0.25">
      <c r="A628" t="s">
        <v>110</v>
      </c>
      <c r="B628" t="s">
        <v>51</v>
      </c>
      <c r="C628" s="1" t="str">
        <f>HYPERLINK("http://продеталь.рф/search.html?article=BM520110","BM520110")</f>
        <v>BM520110</v>
      </c>
      <c r="D628" t="s">
        <v>9</v>
      </c>
    </row>
    <row r="629" spans="1:4" outlineLevel="1" x14ac:dyDescent="0.25">
      <c r="A629" t="s">
        <v>110</v>
      </c>
      <c r="B629" t="s">
        <v>27</v>
      </c>
      <c r="C629" s="1" t="str">
        <f>HYPERLINK("http://продеталь.рф/search.html?article=BM30007A","BM30007A")</f>
        <v>BM30007A</v>
      </c>
      <c r="D629" t="s">
        <v>2</v>
      </c>
    </row>
    <row r="630" spans="1:4" outlineLevel="1" x14ac:dyDescent="0.25">
      <c r="A630" t="s">
        <v>110</v>
      </c>
      <c r="B630" t="s">
        <v>3</v>
      </c>
      <c r="C630" s="1" t="str">
        <f>HYPERLINK("http://продеталь.рф/search.html?article=205292052","205292052")</f>
        <v>205292052</v>
      </c>
      <c r="D630" t="s">
        <v>4</v>
      </c>
    </row>
    <row r="631" spans="1:4" outlineLevel="1" x14ac:dyDescent="0.25">
      <c r="A631" t="s">
        <v>110</v>
      </c>
      <c r="B631" t="s">
        <v>3</v>
      </c>
      <c r="C631" s="1" t="str">
        <f>HYPERLINK("http://продеталь.рф/search.html?article=205291052","205291052")</f>
        <v>205291052</v>
      </c>
      <c r="D631" t="s">
        <v>4</v>
      </c>
    </row>
    <row r="632" spans="1:4" outlineLevel="1" x14ac:dyDescent="0.25">
      <c r="A632" t="s">
        <v>110</v>
      </c>
      <c r="B632" t="s">
        <v>3</v>
      </c>
      <c r="C632" s="1" t="str">
        <f>HYPERLINK("http://продеталь.рф/search.html?article=ZBM1114KCL","ZBM1114KCL")</f>
        <v>ZBM1114KCL</v>
      </c>
      <c r="D632" t="s">
        <v>6</v>
      </c>
    </row>
    <row r="633" spans="1:4" outlineLevel="1" x14ac:dyDescent="0.25">
      <c r="A633" t="s">
        <v>110</v>
      </c>
      <c r="B633" t="s">
        <v>3</v>
      </c>
      <c r="C633" s="1" t="str">
        <f>HYPERLINK("http://продеталь.рф/search.html?article=ZBM1114KCR","ZBM1114KCR")</f>
        <v>ZBM1114KCR</v>
      </c>
      <c r="D633" t="s">
        <v>6</v>
      </c>
    </row>
    <row r="634" spans="1:4" outlineLevel="1" x14ac:dyDescent="0.25">
      <c r="A634" t="s">
        <v>110</v>
      </c>
      <c r="B634" t="s">
        <v>113</v>
      </c>
      <c r="C634" s="1" t="str">
        <f>HYPERLINK("http://продеталь.рф/search.html?article=185008B12B","185008B12B")</f>
        <v>185008B12B</v>
      </c>
      <c r="D634" t="s">
        <v>4</v>
      </c>
    </row>
    <row r="635" spans="1:4" outlineLevel="1" x14ac:dyDescent="0.25">
      <c r="A635" t="s">
        <v>110</v>
      </c>
      <c r="B635" t="s">
        <v>54</v>
      </c>
      <c r="C635" s="1" t="str">
        <f>HYPERLINK("http://продеталь.рф/search.html?article=PBM76003EL","PBM76003EL")</f>
        <v>PBM76003EL</v>
      </c>
      <c r="D635" t="s">
        <v>6</v>
      </c>
    </row>
    <row r="636" spans="1:4" outlineLevel="1" x14ac:dyDescent="0.25">
      <c r="A636" t="s">
        <v>110</v>
      </c>
      <c r="B636" t="s">
        <v>54</v>
      </c>
      <c r="C636" s="1" t="str">
        <f>HYPERLINK("http://продеталь.рф/search.html?article=PBM76003ER","PBM76003ER")</f>
        <v>PBM76003ER</v>
      </c>
      <c r="D636" t="s">
        <v>6</v>
      </c>
    </row>
    <row r="637" spans="1:4" outlineLevel="1" x14ac:dyDescent="0.25">
      <c r="A637" t="s">
        <v>110</v>
      </c>
      <c r="B637" t="s">
        <v>19</v>
      </c>
      <c r="C637" s="1" t="str">
        <f>HYPERLINK("http://продеталь.рф/search.html?article=195038052","195038052")</f>
        <v>195038052</v>
      </c>
      <c r="D637" t="s">
        <v>4</v>
      </c>
    </row>
    <row r="638" spans="1:4" outlineLevel="1" x14ac:dyDescent="0.25">
      <c r="A638" t="s">
        <v>110</v>
      </c>
      <c r="B638" t="s">
        <v>19</v>
      </c>
      <c r="C638" s="1" t="str">
        <f>HYPERLINK("http://продеталь.рф/search.html?article=195037052B","195037052B")</f>
        <v>195037052B</v>
      </c>
      <c r="D638" t="s">
        <v>4</v>
      </c>
    </row>
    <row r="639" spans="1:4" outlineLevel="1" x14ac:dyDescent="0.25">
      <c r="A639" t="s">
        <v>110</v>
      </c>
      <c r="B639" t="s">
        <v>19</v>
      </c>
      <c r="C639" s="1" t="str">
        <f>HYPERLINK("http://продеталь.рф/search.html?article=ZBM2002CL","ZBM2002CL")</f>
        <v>ZBM2002CL</v>
      </c>
      <c r="D639" t="s">
        <v>6</v>
      </c>
    </row>
    <row r="640" spans="1:4" outlineLevel="1" x14ac:dyDescent="0.25">
      <c r="A640" t="s">
        <v>110</v>
      </c>
      <c r="B640" t="s">
        <v>19</v>
      </c>
      <c r="C640" s="1" t="str">
        <f>HYPERLINK("http://продеталь.рф/search.html?article=ZBM2002L","ZBM2002L")</f>
        <v>ZBM2002L</v>
      </c>
      <c r="D640" t="s">
        <v>6</v>
      </c>
    </row>
    <row r="641" spans="1:4" outlineLevel="1" x14ac:dyDescent="0.25">
      <c r="A641" t="s">
        <v>110</v>
      </c>
      <c r="B641" t="s">
        <v>19</v>
      </c>
      <c r="C641" s="1" t="str">
        <f>HYPERLINK("http://продеталь.рф/search.html?article=ZBM2002KR","ZBM2002KR")</f>
        <v>ZBM2002KR</v>
      </c>
      <c r="D641" t="s">
        <v>6</v>
      </c>
    </row>
    <row r="642" spans="1:4" outlineLevel="1" x14ac:dyDescent="0.25">
      <c r="A642" t="s">
        <v>110</v>
      </c>
      <c r="B642" t="s">
        <v>28</v>
      </c>
      <c r="C642" s="1" t="str">
        <f>HYPERLINK("http://продеталь.рф/search.html?article=RA60735A","RA60735A")</f>
        <v>RA60735A</v>
      </c>
      <c r="D642" t="s">
        <v>6</v>
      </c>
    </row>
    <row r="643" spans="1:4" outlineLevel="1" x14ac:dyDescent="0.25">
      <c r="A643" t="s">
        <v>110</v>
      </c>
      <c r="B643" t="s">
        <v>28</v>
      </c>
      <c r="C643" s="1" t="str">
        <f>HYPERLINK("http://продеталь.рф/search.html?article=RA60743A","RA60743A")</f>
        <v>RA60743A</v>
      </c>
      <c r="D643" t="s">
        <v>6</v>
      </c>
    </row>
    <row r="644" spans="1:4" outlineLevel="1" x14ac:dyDescent="0.25">
      <c r="A644" t="s">
        <v>110</v>
      </c>
      <c r="B644" t="s">
        <v>55</v>
      </c>
      <c r="C644" s="1" t="str">
        <f>HYPERLINK("http://продеталь.рф/search.html?article=BM520093N0000","BM520093N0000")</f>
        <v>BM520093N0000</v>
      </c>
      <c r="D644" t="s">
        <v>9</v>
      </c>
    </row>
    <row r="645" spans="1:4" outlineLevel="1" x14ac:dyDescent="0.25">
      <c r="A645" t="s">
        <v>110</v>
      </c>
      <c r="B645" t="s">
        <v>55</v>
      </c>
      <c r="C645" s="1" t="str">
        <f>HYPERLINK("http://продеталь.рф/search.html?article=BM520093N1000","BM520093N1000")</f>
        <v>BM520093N1000</v>
      </c>
      <c r="D645" t="s">
        <v>9</v>
      </c>
    </row>
    <row r="646" spans="1:4" outlineLevel="1" x14ac:dyDescent="0.25">
      <c r="A646" t="s">
        <v>110</v>
      </c>
      <c r="B646" t="s">
        <v>12</v>
      </c>
      <c r="C646" s="1" t="str">
        <f>HYPERLINK("http://продеталь.рф/search.html?article=BM520930","BM520930")</f>
        <v>BM520930</v>
      </c>
      <c r="D646" t="s">
        <v>9</v>
      </c>
    </row>
    <row r="647" spans="1:4" outlineLevel="1" x14ac:dyDescent="0.25">
      <c r="A647" t="s">
        <v>110</v>
      </c>
      <c r="B647" t="s">
        <v>12</v>
      </c>
      <c r="C647" s="1" t="str">
        <f>HYPERLINK("http://продеталь.рф/search.html?article=BM07013GAL7","BM07013GAL7")</f>
        <v>BM07013GAL7</v>
      </c>
      <c r="D647" t="s">
        <v>2</v>
      </c>
    </row>
    <row r="648" spans="1:4" outlineLevel="1" x14ac:dyDescent="0.25">
      <c r="A648" t="s">
        <v>110</v>
      </c>
      <c r="B648" t="s">
        <v>114</v>
      </c>
      <c r="C648" s="1" t="str">
        <f>HYPERLINK("http://продеталь.рф/search.html?article=SBM2002TR","SBM2002TR")</f>
        <v>SBM2002TR</v>
      </c>
      <c r="D648" t="s">
        <v>63</v>
      </c>
    </row>
    <row r="649" spans="1:4" outlineLevel="1" x14ac:dyDescent="0.25">
      <c r="A649" t="s">
        <v>110</v>
      </c>
      <c r="B649" t="s">
        <v>16</v>
      </c>
      <c r="C649" s="1" t="str">
        <f>HYPERLINK("http://продеталь.рф/search.html?article=183270932","183270932")</f>
        <v>183270932</v>
      </c>
      <c r="D649" t="s">
        <v>4</v>
      </c>
    </row>
    <row r="650" spans="1:4" outlineLevel="1" x14ac:dyDescent="0.25">
      <c r="A650" t="s">
        <v>110</v>
      </c>
      <c r="B650" t="s">
        <v>16</v>
      </c>
      <c r="C650" s="1" t="str">
        <f>HYPERLINK("http://продеталь.рф/search.html?article=183270052","183270052")</f>
        <v>183270052</v>
      </c>
      <c r="D650" t="s">
        <v>4</v>
      </c>
    </row>
    <row r="651" spans="1:4" outlineLevel="1" x14ac:dyDescent="0.25">
      <c r="A651" t="s">
        <v>110</v>
      </c>
      <c r="B651" t="s">
        <v>16</v>
      </c>
      <c r="C651" s="1" t="str">
        <f>HYPERLINK("http://продеталь.рф/search.html?article=183269052","183269052")</f>
        <v>183269052</v>
      </c>
      <c r="D651" t="s">
        <v>4</v>
      </c>
    </row>
    <row r="652" spans="1:4" outlineLevel="1" x14ac:dyDescent="0.25">
      <c r="A652" t="s">
        <v>110</v>
      </c>
      <c r="B652" t="s">
        <v>16</v>
      </c>
      <c r="C652" s="1" t="str">
        <f>HYPERLINK("http://продеталь.рф/search.html?article=183270252","183270252")</f>
        <v>183270252</v>
      </c>
      <c r="D652" t="s">
        <v>4</v>
      </c>
    </row>
    <row r="653" spans="1:4" outlineLevel="1" x14ac:dyDescent="0.25">
      <c r="A653" t="s">
        <v>110</v>
      </c>
      <c r="B653" t="s">
        <v>16</v>
      </c>
      <c r="C653" s="1" t="str">
        <f>HYPERLINK("http://продеталь.рф/search.html?article=183269252","183269252")</f>
        <v>183269252</v>
      </c>
      <c r="D653" t="s">
        <v>4</v>
      </c>
    </row>
    <row r="654" spans="1:4" outlineLevel="1" x14ac:dyDescent="0.25">
      <c r="A654" t="s">
        <v>110</v>
      </c>
      <c r="B654" t="s">
        <v>75</v>
      </c>
      <c r="C654" s="1" t="str">
        <f>HYPERLINK("http://продеталь.рф/search.html?article=185008252","185008252")</f>
        <v>185008252</v>
      </c>
      <c r="D654" t="s">
        <v>4</v>
      </c>
    </row>
    <row r="655" spans="1:4" outlineLevel="1" x14ac:dyDescent="0.25">
      <c r="A655" t="s">
        <v>110</v>
      </c>
      <c r="B655" t="s">
        <v>75</v>
      </c>
      <c r="C655" s="1" t="str">
        <f>HYPERLINK("http://продеталь.рф/search.html?article=185007252","185007252")</f>
        <v>185007252</v>
      </c>
      <c r="D655" t="s">
        <v>4</v>
      </c>
    </row>
    <row r="656" spans="1:4" outlineLevel="1" x14ac:dyDescent="0.25">
      <c r="A656" t="s">
        <v>110</v>
      </c>
      <c r="B656" t="s">
        <v>75</v>
      </c>
      <c r="C656" s="1" t="str">
        <f>HYPERLINK("http://продеталь.рф/search.html?article=185007152","185007152")</f>
        <v>185007152</v>
      </c>
      <c r="D656" t="s">
        <v>4</v>
      </c>
    </row>
    <row r="657" spans="1:4" outlineLevel="1" x14ac:dyDescent="0.25">
      <c r="A657" t="s">
        <v>110</v>
      </c>
      <c r="B657" t="s">
        <v>75</v>
      </c>
      <c r="C657" s="1" t="str">
        <f>HYPERLINK("http://продеталь.рф/search.html?article=185008152","185008152")</f>
        <v>185008152</v>
      </c>
      <c r="D657" t="s">
        <v>4</v>
      </c>
    </row>
    <row r="658" spans="1:4" outlineLevel="1" x14ac:dyDescent="0.25">
      <c r="A658" t="s">
        <v>110</v>
      </c>
      <c r="B658" t="s">
        <v>75</v>
      </c>
      <c r="C658" s="1" t="str">
        <f>HYPERLINK("http://продеталь.рф/search.html?article=185008052","185008052")</f>
        <v>185008052</v>
      </c>
      <c r="D658" t="s">
        <v>4</v>
      </c>
    </row>
    <row r="659" spans="1:4" outlineLevel="1" x14ac:dyDescent="0.25">
      <c r="A659" t="s">
        <v>110</v>
      </c>
      <c r="B659" t="s">
        <v>75</v>
      </c>
      <c r="C659" s="1" t="str">
        <f>HYPERLINK("http://продеталь.рф/search.html?article=185007052","185007052")</f>
        <v>185007052</v>
      </c>
      <c r="D659" t="s">
        <v>4</v>
      </c>
    </row>
    <row r="660" spans="1:4" outlineLevel="1" x14ac:dyDescent="0.25">
      <c r="A660" t="s">
        <v>110</v>
      </c>
      <c r="B660" t="s">
        <v>75</v>
      </c>
      <c r="C660" s="1" t="str">
        <f>HYPERLINK("http://продеталь.рф/search.html?article=ZBM1402CSR","ZBM1402CSR")</f>
        <v>ZBM1402CSR</v>
      </c>
      <c r="D660" t="s">
        <v>6</v>
      </c>
    </row>
    <row r="661" spans="1:4" outlineLevel="1" x14ac:dyDescent="0.25">
      <c r="A661" t="s">
        <v>110</v>
      </c>
      <c r="B661" t="s">
        <v>13</v>
      </c>
      <c r="C661" s="1" t="str">
        <f>HYPERLINK("http://продеталь.рф/search.html?article=BM44009A","BM44009A")</f>
        <v>BM44009A</v>
      </c>
      <c r="D661" t="s">
        <v>2</v>
      </c>
    </row>
    <row r="662" spans="1:4" outlineLevel="1" x14ac:dyDescent="0.25">
      <c r="A662" t="s">
        <v>110</v>
      </c>
      <c r="B662" t="s">
        <v>115</v>
      </c>
      <c r="C662" s="1" t="str">
        <f>HYPERLINK("http://продеталь.рф/search.html?article=BM07005MAL","BM07005MAL")</f>
        <v>BM07005MAL</v>
      </c>
      <c r="D662" t="s">
        <v>2</v>
      </c>
    </row>
    <row r="663" spans="1:4" outlineLevel="1" x14ac:dyDescent="0.25">
      <c r="A663" t="s">
        <v>110</v>
      </c>
      <c r="B663" t="s">
        <v>115</v>
      </c>
      <c r="C663" s="1" t="str">
        <f>HYPERLINK("http://продеталь.рф/search.html?article=BM07005MAR","BM07005MAR")</f>
        <v>BM07005MAR</v>
      </c>
      <c r="D663" t="s">
        <v>2</v>
      </c>
    </row>
    <row r="664" spans="1:4" x14ac:dyDescent="0.25">
      <c r="A664" t="s">
        <v>116</v>
      </c>
      <c r="B664" s="2" t="s">
        <v>116</v>
      </c>
      <c r="C664" s="2"/>
      <c r="D664" s="2"/>
    </row>
    <row r="665" spans="1:4" outlineLevel="1" x14ac:dyDescent="0.25">
      <c r="A665" t="s">
        <v>116</v>
      </c>
      <c r="B665" t="s">
        <v>11</v>
      </c>
      <c r="C665" s="1" t="str">
        <f>HYPERLINK("http://продеталь.рф/search.html?article=BM530000","BM530000")</f>
        <v>BM530000</v>
      </c>
      <c r="D665" t="s">
        <v>9</v>
      </c>
    </row>
    <row r="666" spans="1:4" outlineLevel="1" x14ac:dyDescent="0.25">
      <c r="A666" t="s">
        <v>116</v>
      </c>
      <c r="B666" t="s">
        <v>11</v>
      </c>
      <c r="C666" s="1" t="str">
        <f>HYPERLINK("http://продеталь.рф/search.html?article=BM53000001000","BM53000001000")</f>
        <v>BM53000001000</v>
      </c>
      <c r="D666" t="s">
        <v>9</v>
      </c>
    </row>
    <row r="667" spans="1:4" outlineLevel="1" x14ac:dyDescent="0.25">
      <c r="A667" t="s">
        <v>116</v>
      </c>
      <c r="B667" t="s">
        <v>11</v>
      </c>
      <c r="C667" s="1" t="str">
        <f>HYPERLINK("http://продеталь.рф/search.html?article=BM530870","BM530870")</f>
        <v>BM530870</v>
      </c>
      <c r="D667" t="s">
        <v>9</v>
      </c>
    </row>
    <row r="668" spans="1:4" outlineLevel="1" x14ac:dyDescent="0.25">
      <c r="A668" t="s">
        <v>116</v>
      </c>
      <c r="B668" t="s">
        <v>15</v>
      </c>
      <c r="C668" s="1" t="str">
        <f>HYPERLINK("http://продеталь.рф/search.html?article=3030025","3030025")</f>
        <v>3030025</v>
      </c>
      <c r="D668" t="s">
        <v>4</v>
      </c>
    </row>
    <row r="669" spans="1:4" outlineLevel="1" x14ac:dyDescent="0.25">
      <c r="A669" t="s">
        <v>116</v>
      </c>
      <c r="B669" t="s">
        <v>15</v>
      </c>
      <c r="C669" s="1" t="str">
        <f>HYPERLINK("http://продеталь.рф/search.html?article=3030034","3030034")</f>
        <v>3030034</v>
      </c>
      <c r="D669" t="s">
        <v>4</v>
      </c>
    </row>
    <row r="670" spans="1:4" outlineLevel="1" x14ac:dyDescent="0.25">
      <c r="A670" t="s">
        <v>116</v>
      </c>
      <c r="B670" t="s">
        <v>15</v>
      </c>
      <c r="C670" s="1" t="str">
        <f>HYPERLINK("http://продеталь.рф/search.html?article=3030027","3030027")</f>
        <v>3030027</v>
      </c>
      <c r="D670" t="s">
        <v>4</v>
      </c>
    </row>
    <row r="671" spans="1:4" outlineLevel="1" x14ac:dyDescent="0.25">
      <c r="A671" t="s">
        <v>116</v>
      </c>
      <c r="B671" t="s">
        <v>117</v>
      </c>
      <c r="C671" s="1" t="str">
        <f>HYPERLINK("http://продеталь.рф/search.html?article=9XB155279001","9XB155279001")</f>
        <v>9XB155279001</v>
      </c>
      <c r="D671" t="s">
        <v>43</v>
      </c>
    </row>
    <row r="672" spans="1:4" outlineLevel="1" x14ac:dyDescent="0.25">
      <c r="A672" t="s">
        <v>116</v>
      </c>
      <c r="B672" t="s">
        <v>59</v>
      </c>
      <c r="C672" s="1" t="str">
        <f>HYPERLINK("http://продеталь.рф/search.html?article=BM99014GA","BM99014GA")</f>
        <v>BM99014GA</v>
      </c>
      <c r="D672" t="s">
        <v>2</v>
      </c>
    </row>
    <row r="673" spans="1:4" outlineLevel="1" x14ac:dyDescent="0.25">
      <c r="A673" t="s">
        <v>116</v>
      </c>
      <c r="B673" t="s">
        <v>59</v>
      </c>
      <c r="C673" s="1" t="str">
        <f>HYPERLINK("http://продеталь.рф/search.html?article=BM53000LA0","BM53000LA0")</f>
        <v>BM53000LA0</v>
      </c>
      <c r="D673" t="s">
        <v>9</v>
      </c>
    </row>
    <row r="674" spans="1:4" outlineLevel="1" x14ac:dyDescent="0.25">
      <c r="A674" t="s">
        <v>116</v>
      </c>
      <c r="B674" t="s">
        <v>101</v>
      </c>
      <c r="C674" s="1" t="str">
        <f>HYPERLINK("http://продеталь.рф/search.html?article=BM530000V0000","BM530000V0000")</f>
        <v>BM530000V0000</v>
      </c>
      <c r="D674" t="s">
        <v>9</v>
      </c>
    </row>
    <row r="675" spans="1:4" outlineLevel="1" x14ac:dyDescent="0.25">
      <c r="A675" t="s">
        <v>116</v>
      </c>
      <c r="B675" t="s">
        <v>101</v>
      </c>
      <c r="C675" s="1" t="str">
        <f>HYPERLINK("http://продеталь.рф/search.html?article=BM99025CA","BM99025CA")</f>
        <v>BM99025CA</v>
      </c>
      <c r="D675" t="s">
        <v>2</v>
      </c>
    </row>
    <row r="676" spans="1:4" outlineLevel="1" x14ac:dyDescent="0.25">
      <c r="A676" t="s">
        <v>116</v>
      </c>
      <c r="B676" t="s">
        <v>35</v>
      </c>
      <c r="C676" s="1" t="str">
        <f>HYPERLINK("http://продеталь.рф/search.html?article=2016345","2016345")</f>
        <v>2016345</v>
      </c>
      <c r="D676" t="s">
        <v>81</v>
      </c>
    </row>
    <row r="677" spans="1:4" outlineLevel="1" x14ac:dyDescent="0.25">
      <c r="A677" t="s">
        <v>116</v>
      </c>
      <c r="B677" t="s">
        <v>24</v>
      </c>
      <c r="C677" s="1" t="str">
        <f>HYPERLINK("http://продеталь.рф/search.html?article=13391005","13391005")</f>
        <v>13391005</v>
      </c>
      <c r="D677" t="s">
        <v>49</v>
      </c>
    </row>
    <row r="678" spans="1:4" outlineLevel="1" x14ac:dyDescent="0.25">
      <c r="A678" t="s">
        <v>116</v>
      </c>
      <c r="B678" t="s">
        <v>50</v>
      </c>
      <c r="C678" s="1" t="str">
        <f>HYPERLINK("http://продеталь.рф/search.html?article=BM07009HAR","BM07009HAR")</f>
        <v>BM07009HAR</v>
      </c>
      <c r="D678" t="s">
        <v>2</v>
      </c>
    </row>
    <row r="679" spans="1:4" outlineLevel="1" x14ac:dyDescent="0.25">
      <c r="A679" t="s">
        <v>116</v>
      </c>
      <c r="B679" t="s">
        <v>60</v>
      </c>
      <c r="C679" s="1" t="str">
        <f>HYPERLINK("http://продеталь.рф/search.html?article=BM530087M2000","BM530087M2000")</f>
        <v>BM530087M2000</v>
      </c>
      <c r="D679" t="s">
        <v>9</v>
      </c>
    </row>
    <row r="680" spans="1:4" outlineLevel="1" x14ac:dyDescent="0.25">
      <c r="A680" t="s">
        <v>116</v>
      </c>
      <c r="B680" t="s">
        <v>60</v>
      </c>
      <c r="C680" s="1" t="str">
        <f>HYPERLINK("http://продеталь.рф/search.html?article=BM530087M0L00","BM530087M0L00")</f>
        <v>BM530087M0L00</v>
      </c>
      <c r="D680" t="s">
        <v>9</v>
      </c>
    </row>
    <row r="681" spans="1:4" outlineLevel="1" x14ac:dyDescent="0.25">
      <c r="A681" t="s">
        <v>116</v>
      </c>
      <c r="B681" t="s">
        <v>60</v>
      </c>
      <c r="C681" s="1" t="str">
        <f>HYPERLINK("http://продеталь.рф/search.html?article=BM530087M0R00","BM530087M0R00")</f>
        <v>BM530087M0R00</v>
      </c>
      <c r="D681" t="s">
        <v>9</v>
      </c>
    </row>
    <row r="682" spans="1:4" outlineLevel="1" x14ac:dyDescent="0.25">
      <c r="A682" t="s">
        <v>116</v>
      </c>
      <c r="B682" t="s">
        <v>37</v>
      </c>
      <c r="C682" s="1" t="str">
        <f>HYPERLINK("http://продеталь.рф/search.html?article=PBM87008A","PBM87008A")</f>
        <v>PBM87008A</v>
      </c>
      <c r="D682" t="s">
        <v>6</v>
      </c>
    </row>
    <row r="683" spans="1:4" outlineLevel="1" x14ac:dyDescent="0.25">
      <c r="A683" t="s">
        <v>116</v>
      </c>
      <c r="B683" t="s">
        <v>26</v>
      </c>
      <c r="C683" s="1" t="str">
        <f>HYPERLINK("http://продеталь.рф/search.html?article=BM99011MAL","BM99011MAL")</f>
        <v>BM99011MAL</v>
      </c>
      <c r="D683" t="s">
        <v>2</v>
      </c>
    </row>
    <row r="684" spans="1:4" outlineLevel="1" x14ac:dyDescent="0.25">
      <c r="A684" t="s">
        <v>116</v>
      </c>
      <c r="B684" t="s">
        <v>26</v>
      </c>
      <c r="C684" s="1" t="str">
        <f>HYPERLINK("http://продеталь.рф/search.html?article=BM99012MAL","BM99012MAL")</f>
        <v>BM99012MAL</v>
      </c>
      <c r="D684" t="s">
        <v>2</v>
      </c>
    </row>
    <row r="685" spans="1:4" outlineLevel="1" x14ac:dyDescent="0.25">
      <c r="A685" t="s">
        <v>116</v>
      </c>
      <c r="B685" t="s">
        <v>26</v>
      </c>
      <c r="C685" s="1" t="str">
        <f>HYPERLINK("http://продеталь.рф/search.html?article=BM99012MAR","BM99012MAR")</f>
        <v>BM99012MAR</v>
      </c>
      <c r="D685" t="s">
        <v>2</v>
      </c>
    </row>
    <row r="686" spans="1:4" outlineLevel="1" x14ac:dyDescent="0.25">
      <c r="A686" t="s">
        <v>116</v>
      </c>
      <c r="B686" t="s">
        <v>26</v>
      </c>
      <c r="C686" s="1" t="str">
        <f>HYPERLINK("http://продеталь.рф/search.html?article=BM53000MG1","BM53000MG1")</f>
        <v>BM53000MG1</v>
      </c>
      <c r="D686" t="s">
        <v>9</v>
      </c>
    </row>
    <row r="687" spans="1:4" outlineLevel="1" x14ac:dyDescent="0.25">
      <c r="A687" t="s">
        <v>116</v>
      </c>
      <c r="B687" t="s">
        <v>26</v>
      </c>
      <c r="C687" s="1" t="str">
        <f>HYPERLINK("http://продеталь.рф/search.html?article=BM53000MG2","BM53000MG2")</f>
        <v>BM53000MG2</v>
      </c>
      <c r="D687" t="s">
        <v>9</v>
      </c>
    </row>
    <row r="688" spans="1:4" outlineLevel="1" x14ac:dyDescent="0.25">
      <c r="A688" t="s">
        <v>116</v>
      </c>
      <c r="B688" t="s">
        <v>26</v>
      </c>
      <c r="C688" s="1" t="str">
        <f>HYPERLINK("http://продеталь.рф/search.html?article=BM53000MF2","BM53000MF2")</f>
        <v>BM53000MF2</v>
      </c>
      <c r="D688" t="s">
        <v>9</v>
      </c>
    </row>
    <row r="689" spans="1:4" outlineLevel="1" x14ac:dyDescent="0.25">
      <c r="A689" t="s">
        <v>116</v>
      </c>
      <c r="B689" t="s">
        <v>27</v>
      </c>
      <c r="C689" s="1" t="str">
        <f>HYPERLINK("http://продеталь.рф/search.html?article=BM53000900000","BM53000900000")</f>
        <v>BM53000900000</v>
      </c>
      <c r="D689" t="s">
        <v>9</v>
      </c>
    </row>
    <row r="690" spans="1:4" outlineLevel="1" x14ac:dyDescent="0.25">
      <c r="A690" t="s">
        <v>116</v>
      </c>
      <c r="B690" t="s">
        <v>3</v>
      </c>
      <c r="C690" s="1" t="str">
        <f>HYPERLINK("http://продеталь.рф/search.html?article=200380152","200380152")</f>
        <v>200380152</v>
      </c>
      <c r="D690" t="s">
        <v>4</v>
      </c>
    </row>
    <row r="691" spans="1:4" outlineLevel="1" x14ac:dyDescent="0.25">
      <c r="A691" t="s">
        <v>116</v>
      </c>
      <c r="B691" t="s">
        <v>3</v>
      </c>
      <c r="C691" s="1" t="str">
        <f>HYPERLINK("http://продеталь.рф/search.html?article=200379152","200379152")</f>
        <v>200379152</v>
      </c>
      <c r="D691" t="s">
        <v>4</v>
      </c>
    </row>
    <row r="692" spans="1:4" outlineLevel="1" x14ac:dyDescent="0.25">
      <c r="A692" t="s">
        <v>116</v>
      </c>
      <c r="B692" t="s">
        <v>3</v>
      </c>
      <c r="C692" s="1" t="str">
        <f>HYPERLINK("http://продеталь.рф/search.html?article=ZBM1119KCL","ZBM1119KCL")</f>
        <v>ZBM1119KCL</v>
      </c>
      <c r="D692" t="s">
        <v>6</v>
      </c>
    </row>
    <row r="693" spans="1:4" outlineLevel="1" x14ac:dyDescent="0.25">
      <c r="A693" t="s">
        <v>116</v>
      </c>
      <c r="B693" t="s">
        <v>3</v>
      </c>
      <c r="C693" s="1" t="str">
        <f>HYPERLINK("http://продеталь.рф/search.html?article=ZBM1119KCR","ZBM1119KCR")</f>
        <v>ZBM1119KCR</v>
      </c>
      <c r="D693" t="s">
        <v>6</v>
      </c>
    </row>
    <row r="694" spans="1:4" outlineLevel="1" x14ac:dyDescent="0.25">
      <c r="A694" t="s">
        <v>116</v>
      </c>
      <c r="B694" t="s">
        <v>3</v>
      </c>
      <c r="C694" s="1" t="str">
        <f>HYPERLINK("http://продеталь.рф/search.html?article=ZBM1122KCL","ZBM1122KCL")</f>
        <v>ZBM1122KCL</v>
      </c>
      <c r="D694" t="s">
        <v>6</v>
      </c>
    </row>
    <row r="695" spans="1:4" outlineLevel="1" x14ac:dyDescent="0.25">
      <c r="A695" t="s">
        <v>116</v>
      </c>
      <c r="B695" t="s">
        <v>3</v>
      </c>
      <c r="C695" s="1" t="str">
        <f>HYPERLINK("http://продеталь.рф/search.html?article=ZBM1122KCR","ZBM1122KCR")</f>
        <v>ZBM1122KCR</v>
      </c>
      <c r="D695" t="s">
        <v>6</v>
      </c>
    </row>
    <row r="696" spans="1:4" outlineLevel="1" x14ac:dyDescent="0.25">
      <c r="A696" t="s">
        <v>116</v>
      </c>
      <c r="B696" t="s">
        <v>5</v>
      </c>
      <c r="C696" s="1" t="str">
        <f>HYPERLINK("http://продеталь.рф/search.html?article=BM11010AL","BM11010AL")</f>
        <v>BM11010AL</v>
      </c>
      <c r="D696" t="s">
        <v>2</v>
      </c>
    </row>
    <row r="697" spans="1:4" outlineLevel="1" x14ac:dyDescent="0.25">
      <c r="A697" t="s">
        <v>116</v>
      </c>
      <c r="B697" t="s">
        <v>5</v>
      </c>
      <c r="C697" s="1" t="str">
        <f>HYPERLINK("http://продеталь.рф/search.html?article=PBM11011AR","PBM11011AR")</f>
        <v>PBM11011AR</v>
      </c>
      <c r="D697" t="s">
        <v>6</v>
      </c>
    </row>
    <row r="698" spans="1:4" outlineLevel="1" x14ac:dyDescent="0.25">
      <c r="A698" t="s">
        <v>116</v>
      </c>
      <c r="B698" t="s">
        <v>54</v>
      </c>
      <c r="C698" s="1" t="str">
        <f>HYPERLINK("http://продеталь.рф/search.html?article=0065011","0065011")</f>
        <v>0065011</v>
      </c>
      <c r="D698" t="s">
        <v>46</v>
      </c>
    </row>
    <row r="699" spans="1:4" outlineLevel="1" x14ac:dyDescent="0.25">
      <c r="A699" t="s">
        <v>116</v>
      </c>
      <c r="B699" t="s">
        <v>19</v>
      </c>
      <c r="C699" s="1" t="str">
        <f>HYPERLINK("http://продеталь.рф/search.html?article=190016052","190016052")</f>
        <v>190016052</v>
      </c>
      <c r="D699" t="s">
        <v>4</v>
      </c>
    </row>
    <row r="700" spans="1:4" outlineLevel="1" x14ac:dyDescent="0.25">
      <c r="A700" t="s">
        <v>116</v>
      </c>
      <c r="B700" t="s">
        <v>19</v>
      </c>
      <c r="C700" s="1" t="str">
        <f>HYPERLINK("http://продеталь.рф/search.html?article=190015052","190015052")</f>
        <v>190015052</v>
      </c>
      <c r="D700" t="s">
        <v>4</v>
      </c>
    </row>
    <row r="701" spans="1:4" outlineLevel="1" x14ac:dyDescent="0.25">
      <c r="A701" t="s">
        <v>116</v>
      </c>
      <c r="B701" t="s">
        <v>19</v>
      </c>
      <c r="C701" s="1" t="str">
        <f>HYPERLINK("http://продеталь.рф/search.html?article=195267052","195267052")</f>
        <v>195267052</v>
      </c>
      <c r="D701" t="s">
        <v>4</v>
      </c>
    </row>
    <row r="702" spans="1:4" outlineLevel="1" x14ac:dyDescent="0.25">
      <c r="A702" t="s">
        <v>116</v>
      </c>
      <c r="B702" t="s">
        <v>19</v>
      </c>
      <c r="C702" s="1" t="str">
        <f>HYPERLINK("http://продеталь.рф/search.html?article=ZBM2222KL","ZBM2222KL")</f>
        <v>ZBM2222KL</v>
      </c>
      <c r="D702" t="s">
        <v>6</v>
      </c>
    </row>
    <row r="703" spans="1:4" outlineLevel="1" x14ac:dyDescent="0.25">
      <c r="A703" t="s">
        <v>116</v>
      </c>
      <c r="B703" t="s">
        <v>19</v>
      </c>
      <c r="C703" s="1" t="str">
        <f>HYPERLINK("http://продеталь.рф/search.html?article=ZBM2222KR","ZBM2222KR")</f>
        <v>ZBM2222KR</v>
      </c>
      <c r="D703" t="s">
        <v>6</v>
      </c>
    </row>
    <row r="704" spans="1:4" outlineLevel="1" x14ac:dyDescent="0.25">
      <c r="A704" t="s">
        <v>116</v>
      </c>
      <c r="B704" t="s">
        <v>19</v>
      </c>
      <c r="C704" s="1" t="str">
        <f>HYPERLINK("http://продеталь.рф/search.html?article=ZBM2223L","ZBM2223L")</f>
        <v>ZBM2223L</v>
      </c>
      <c r="D704" t="s">
        <v>6</v>
      </c>
    </row>
    <row r="705" spans="1:4" outlineLevel="1" x14ac:dyDescent="0.25">
      <c r="A705" t="s">
        <v>116</v>
      </c>
      <c r="B705" t="s">
        <v>28</v>
      </c>
      <c r="C705" s="1" t="str">
        <f>HYPERLINK("http://продеталь.рф/search.html?article=RA60752A","RA60752A")</f>
        <v>RA60752A</v>
      </c>
      <c r="D705" t="s">
        <v>6</v>
      </c>
    </row>
    <row r="706" spans="1:4" outlineLevel="1" x14ac:dyDescent="0.25">
      <c r="A706" t="s">
        <v>116</v>
      </c>
      <c r="B706" t="s">
        <v>12</v>
      </c>
      <c r="C706" s="1" t="str">
        <f>HYPERLINK("http://продеталь.рф/search.html?article=BM53009300L00","BM53009300L00")</f>
        <v>BM53009300L00</v>
      </c>
      <c r="D706" t="s">
        <v>9</v>
      </c>
    </row>
    <row r="707" spans="1:4" outlineLevel="1" x14ac:dyDescent="0.25">
      <c r="A707" t="s">
        <v>116</v>
      </c>
      <c r="B707" t="s">
        <v>12</v>
      </c>
      <c r="C707" s="1" t="str">
        <f>HYPERLINK("http://продеталь.рф/search.html?article=BM53093G2","BM53093G2")</f>
        <v>BM53093G2</v>
      </c>
      <c r="D707" t="s">
        <v>9</v>
      </c>
    </row>
    <row r="708" spans="1:4" outlineLevel="1" x14ac:dyDescent="0.25">
      <c r="A708" t="s">
        <v>116</v>
      </c>
      <c r="B708" t="s">
        <v>32</v>
      </c>
      <c r="C708" s="1" t="str">
        <f>HYPERLINK("http://продеталь.рф/search.html?article=SBMM1003CL","SBMM1003CL")</f>
        <v>SBMM1003CL</v>
      </c>
      <c r="D708" t="s">
        <v>6</v>
      </c>
    </row>
    <row r="709" spans="1:4" outlineLevel="1" x14ac:dyDescent="0.25">
      <c r="A709" t="s">
        <v>116</v>
      </c>
      <c r="B709" t="s">
        <v>32</v>
      </c>
      <c r="C709" s="1" t="str">
        <f>HYPERLINK("http://продеталь.рф/search.html?article=SBMM1003CR","SBMM1003CR")</f>
        <v>SBMM1003CR</v>
      </c>
      <c r="D709" t="s">
        <v>6</v>
      </c>
    </row>
    <row r="710" spans="1:4" outlineLevel="1" x14ac:dyDescent="0.25">
      <c r="A710" t="s">
        <v>116</v>
      </c>
      <c r="B710" t="s">
        <v>41</v>
      </c>
      <c r="C710" s="1" t="str">
        <f>HYPERLINK("http://продеталь.рф/search.html?article=200379LA2","200379LA2")</f>
        <v>200379LA2</v>
      </c>
      <c r="D710" t="s">
        <v>4</v>
      </c>
    </row>
    <row r="711" spans="1:4" outlineLevel="1" x14ac:dyDescent="0.25">
      <c r="A711" t="s">
        <v>116</v>
      </c>
      <c r="B711" t="s">
        <v>118</v>
      </c>
      <c r="C711" s="1" t="str">
        <f>HYPERLINK("http://продеталь.рф/search.html?article=SBM2223LR","SBM2223LR")</f>
        <v>SBM2223LR</v>
      </c>
      <c r="D711" t="s">
        <v>63</v>
      </c>
    </row>
    <row r="712" spans="1:4" outlineLevel="1" x14ac:dyDescent="0.25">
      <c r="A712" t="s">
        <v>116</v>
      </c>
      <c r="B712" t="s">
        <v>118</v>
      </c>
      <c r="C712" s="1" t="str">
        <f>HYPERLINK("http://продеталь.рф/search.html?article=SBM2229L","SBM2229L")</f>
        <v>SBM2229L</v>
      </c>
      <c r="D712" t="s">
        <v>63</v>
      </c>
    </row>
    <row r="713" spans="1:4" outlineLevel="1" x14ac:dyDescent="0.25">
      <c r="A713" t="s">
        <v>116</v>
      </c>
      <c r="B713" t="s">
        <v>118</v>
      </c>
      <c r="C713" s="1" t="str">
        <f>HYPERLINK("http://продеталь.рф/search.html?article=SBM2229R","SBM2229R")</f>
        <v>SBM2229R</v>
      </c>
      <c r="D713" t="s">
        <v>63</v>
      </c>
    </row>
    <row r="714" spans="1:4" outlineLevel="1" x14ac:dyDescent="0.25">
      <c r="A714" t="s">
        <v>116</v>
      </c>
      <c r="B714" t="s">
        <v>75</v>
      </c>
      <c r="C714" s="1" t="str">
        <f>HYPERLINK("http://продеталь.рф/search.html?article=BM028U00W2","BM028U00W2")</f>
        <v>BM028U00W2</v>
      </c>
      <c r="D714" t="s">
        <v>69</v>
      </c>
    </row>
    <row r="715" spans="1:4" outlineLevel="1" x14ac:dyDescent="0.25">
      <c r="A715" t="s">
        <v>116</v>
      </c>
      <c r="B715" t="s">
        <v>13</v>
      </c>
      <c r="C715" s="1" t="str">
        <f>HYPERLINK("http://продеталь.рф/search.html?article=BM53000RA0","BM53000RA0")</f>
        <v>BM53000RA0</v>
      </c>
      <c r="D715" t="s">
        <v>9</v>
      </c>
    </row>
    <row r="716" spans="1:4" outlineLevel="1" x14ac:dyDescent="0.25">
      <c r="A716" t="s">
        <v>116</v>
      </c>
      <c r="B716" t="s">
        <v>119</v>
      </c>
      <c r="C716" s="1" t="str">
        <f>HYPERLINK("http://продеталь.рф/search.html?article=BM530000M2L00","BM530000M2L00")</f>
        <v>BM530000M2L00</v>
      </c>
      <c r="D716" t="s">
        <v>9</v>
      </c>
    </row>
    <row r="717" spans="1:4" outlineLevel="1" x14ac:dyDescent="0.25">
      <c r="A717" t="s">
        <v>116</v>
      </c>
      <c r="B717" t="s">
        <v>119</v>
      </c>
      <c r="C717" s="1" t="str">
        <f>HYPERLINK("http://продеталь.рф/search.html?article=BM530087M1000","BM530087M1000")</f>
        <v>BM530087M1000</v>
      </c>
      <c r="D717" t="s">
        <v>9</v>
      </c>
    </row>
    <row r="718" spans="1:4" outlineLevel="1" x14ac:dyDescent="0.25">
      <c r="A718" t="s">
        <v>116</v>
      </c>
      <c r="B718" t="s">
        <v>119</v>
      </c>
      <c r="C718" s="1" t="str">
        <f>HYPERLINK("http://продеталь.рф/search.html?article=BM530087M1L00","BM530087M1L00")</f>
        <v>BM530087M1L00</v>
      </c>
      <c r="D718" t="s">
        <v>9</v>
      </c>
    </row>
    <row r="719" spans="1:4" outlineLevel="1" x14ac:dyDescent="0.25">
      <c r="A719" t="s">
        <v>116</v>
      </c>
      <c r="B719" t="s">
        <v>119</v>
      </c>
      <c r="C719" s="1" t="str">
        <f>HYPERLINK("http://продеталь.рф/search.html?article=BM530087M1R00","BM530087M1R00")</f>
        <v>BM530087M1R00</v>
      </c>
      <c r="D719" t="s">
        <v>9</v>
      </c>
    </row>
    <row r="720" spans="1:4" outlineLevel="1" x14ac:dyDescent="0.25">
      <c r="A720" t="s">
        <v>116</v>
      </c>
      <c r="B720" t="s">
        <v>120</v>
      </c>
      <c r="C720" s="1" t="str">
        <f>HYPERLINK("http://продеталь.рф/search.html?article=BM99013MAC","BM99013MAC")</f>
        <v>BM99013MAC</v>
      </c>
      <c r="D720" t="s">
        <v>2</v>
      </c>
    </row>
    <row r="721" spans="1:4" x14ac:dyDescent="0.25">
      <c r="A721" t="s">
        <v>121</v>
      </c>
      <c r="B721" s="2" t="s">
        <v>121</v>
      </c>
      <c r="C721" s="2"/>
      <c r="D721" s="2"/>
    </row>
    <row r="722" spans="1:4" outlineLevel="1" x14ac:dyDescent="0.25">
      <c r="A722" t="s">
        <v>121</v>
      </c>
      <c r="B722" t="s">
        <v>11</v>
      </c>
      <c r="C722" s="1" t="str">
        <f>HYPERLINK("http://продеталь.рф/search.html?article=BM04020BA","BM04020BA")</f>
        <v>BM04020BA</v>
      </c>
      <c r="D722" t="s">
        <v>2</v>
      </c>
    </row>
    <row r="723" spans="1:4" outlineLevel="1" x14ac:dyDescent="0.25">
      <c r="A723" t="s">
        <v>121</v>
      </c>
      <c r="B723" t="s">
        <v>59</v>
      </c>
      <c r="C723" s="1" t="str">
        <f>HYPERLINK("http://продеталь.рф/search.html?article=BM540000L0000","BM540000L0000")</f>
        <v>BM540000L0000</v>
      </c>
      <c r="D723" t="s">
        <v>9</v>
      </c>
    </row>
    <row r="724" spans="1:4" outlineLevel="1" x14ac:dyDescent="0.25">
      <c r="A724" t="s">
        <v>121</v>
      </c>
      <c r="B724" t="s">
        <v>83</v>
      </c>
      <c r="C724" s="1" t="str">
        <f>HYPERLINK("http://продеталь.рф/search.html?article=BM99043CAL","BM99043CAL")</f>
        <v>BM99043CAL</v>
      </c>
      <c r="D724" t="s">
        <v>2</v>
      </c>
    </row>
    <row r="725" spans="1:4" outlineLevel="1" x14ac:dyDescent="0.25">
      <c r="A725" t="s">
        <v>121</v>
      </c>
      <c r="B725" t="s">
        <v>83</v>
      </c>
      <c r="C725" s="1" t="str">
        <f>HYPERLINK("http://продеталь.рф/search.html?article=BM99043CAR","BM99043CAR")</f>
        <v>BM99043CAR</v>
      </c>
      <c r="D725" t="s">
        <v>2</v>
      </c>
    </row>
    <row r="726" spans="1:4" outlineLevel="1" x14ac:dyDescent="0.25">
      <c r="A726" t="s">
        <v>121</v>
      </c>
      <c r="B726" t="s">
        <v>101</v>
      </c>
      <c r="C726" s="1" t="str">
        <f>HYPERLINK("http://продеталь.рф/search.html?article=PBM99032CA","PBM99032CA")</f>
        <v>PBM99032CA</v>
      </c>
      <c r="D726" t="s">
        <v>6</v>
      </c>
    </row>
    <row r="727" spans="1:4" outlineLevel="1" x14ac:dyDescent="0.25">
      <c r="A727" t="s">
        <v>121</v>
      </c>
      <c r="B727" t="s">
        <v>84</v>
      </c>
      <c r="C727" s="1" t="str">
        <f>HYPERLINK("http://продеталь.рф/search.html?article=BM99054AR","BM99054AR")</f>
        <v>BM99054AR</v>
      </c>
      <c r="D727" t="s">
        <v>2</v>
      </c>
    </row>
    <row r="728" spans="1:4" outlineLevel="1" x14ac:dyDescent="0.25">
      <c r="A728" t="s">
        <v>121</v>
      </c>
      <c r="B728" t="s">
        <v>66</v>
      </c>
      <c r="C728" s="1" t="str">
        <f>HYPERLINK("http://продеталь.рф/search.html?article=BK069","BK069")</f>
        <v>BK069</v>
      </c>
      <c r="D728" t="s">
        <v>6</v>
      </c>
    </row>
    <row r="729" spans="1:4" outlineLevel="1" x14ac:dyDescent="0.25">
      <c r="A729" t="s">
        <v>121</v>
      </c>
      <c r="B729" t="s">
        <v>51</v>
      </c>
      <c r="C729" s="1" t="str">
        <f>HYPERLINK("http://продеталь.рф/search.html?article=BM34001B","BM34001B")</f>
        <v>BM34001B</v>
      </c>
      <c r="D729" t="s">
        <v>2</v>
      </c>
    </row>
    <row r="730" spans="1:4" outlineLevel="1" x14ac:dyDescent="0.25">
      <c r="A730" t="s">
        <v>121</v>
      </c>
      <c r="B730" t="s">
        <v>27</v>
      </c>
      <c r="C730" s="1" t="str">
        <f>HYPERLINK("http://продеталь.рф/search.html?article=BM54009S2","BM54009S2")</f>
        <v>BM54009S2</v>
      </c>
      <c r="D730" t="s">
        <v>9</v>
      </c>
    </row>
    <row r="731" spans="1:4" outlineLevel="1" x14ac:dyDescent="0.25">
      <c r="A731" t="s">
        <v>121</v>
      </c>
      <c r="B731" t="s">
        <v>27</v>
      </c>
      <c r="C731" s="1" t="str">
        <f>HYPERLINK("http://продеталь.рф/search.html?article=BM540009T1000","BM540009T1000")</f>
        <v>BM540009T1000</v>
      </c>
      <c r="D731" t="s">
        <v>9</v>
      </c>
    </row>
    <row r="732" spans="1:4" outlineLevel="1" x14ac:dyDescent="0.25">
      <c r="A732" t="s">
        <v>121</v>
      </c>
      <c r="B732" t="s">
        <v>5</v>
      </c>
      <c r="C732" s="1" t="str">
        <f>HYPERLINK("http://продеталь.рф/search.html?article=PBM11021AL","PBM11021AL")</f>
        <v>PBM11021AL</v>
      </c>
      <c r="D732" t="s">
        <v>6</v>
      </c>
    </row>
    <row r="733" spans="1:4" outlineLevel="1" x14ac:dyDescent="0.25">
      <c r="A733" t="s">
        <v>121</v>
      </c>
      <c r="B733" t="s">
        <v>5</v>
      </c>
      <c r="C733" s="1" t="str">
        <f>HYPERLINK("http://продеталь.рф/search.html?article=BM540016L1L00","BM540016L1L00")</f>
        <v>BM540016L1L00</v>
      </c>
      <c r="D733" t="s">
        <v>9</v>
      </c>
    </row>
    <row r="734" spans="1:4" outlineLevel="1" x14ac:dyDescent="0.25">
      <c r="A734" t="s">
        <v>121</v>
      </c>
      <c r="B734" t="s">
        <v>5</v>
      </c>
      <c r="C734" s="1" t="str">
        <f>HYPERLINK("http://продеталь.рф/search.html?article=BM540016L1R00","BM540016L1R00")</f>
        <v>BM540016L1R00</v>
      </c>
      <c r="D734" t="s">
        <v>9</v>
      </c>
    </row>
    <row r="735" spans="1:4" outlineLevel="1" x14ac:dyDescent="0.25">
      <c r="A735" t="s">
        <v>121</v>
      </c>
      <c r="B735" t="s">
        <v>19</v>
      </c>
      <c r="C735" s="1" t="str">
        <f>HYPERLINK("http://продеталь.рф/search.html?article=19A47101","19A47101")</f>
        <v>19A47101</v>
      </c>
      <c r="D735" t="s">
        <v>4</v>
      </c>
    </row>
    <row r="736" spans="1:4" outlineLevel="1" x14ac:dyDescent="0.25">
      <c r="A736" t="s">
        <v>121</v>
      </c>
      <c r="B736" t="s">
        <v>19</v>
      </c>
      <c r="C736" s="1" t="str">
        <f>HYPERLINK("http://продеталь.рф/search.html?article=19A730019B","19A730019B")</f>
        <v>19A730019B</v>
      </c>
      <c r="D736" t="s">
        <v>4</v>
      </c>
    </row>
    <row r="737" spans="1:4" outlineLevel="1" x14ac:dyDescent="0.25">
      <c r="A737" t="s">
        <v>121</v>
      </c>
      <c r="B737" t="s">
        <v>19</v>
      </c>
      <c r="C737" s="1" t="str">
        <f>HYPERLINK("http://продеталь.рф/search.html?article=19A729019B","19A729019B")</f>
        <v>19A729019B</v>
      </c>
      <c r="D737" t="s">
        <v>4</v>
      </c>
    </row>
    <row r="738" spans="1:4" outlineLevel="1" x14ac:dyDescent="0.25">
      <c r="A738" t="s">
        <v>121</v>
      </c>
      <c r="B738" t="s">
        <v>30</v>
      </c>
      <c r="C738" s="1" t="str">
        <f>HYPERLINK("http://продеталь.рф/search.html?article=BM99068CAR","BM99068CAR")</f>
        <v>BM99068CAR</v>
      </c>
      <c r="D738" t="s">
        <v>2</v>
      </c>
    </row>
    <row r="739" spans="1:4" outlineLevel="1" x14ac:dyDescent="0.25">
      <c r="A739" t="s">
        <v>121</v>
      </c>
      <c r="B739" t="s">
        <v>30</v>
      </c>
      <c r="C739" s="1" t="str">
        <f>HYPERLINK("http://продеталь.рф/search.html?article=BM99068CAL","BM99068CAL")</f>
        <v>BM99068CAL</v>
      </c>
      <c r="D739" t="s">
        <v>2</v>
      </c>
    </row>
    <row r="740" spans="1:4" outlineLevel="1" x14ac:dyDescent="0.25">
      <c r="A740" t="s">
        <v>121</v>
      </c>
      <c r="B740" t="s">
        <v>40</v>
      </c>
      <c r="C740" s="1" t="str">
        <f>HYPERLINK("http://продеталь.рф/search.html?article=BM07055GAR","BM07055GAR")</f>
        <v>BM07055GAR</v>
      </c>
      <c r="D740" t="s">
        <v>2</v>
      </c>
    </row>
    <row r="741" spans="1:4" outlineLevel="1" x14ac:dyDescent="0.25">
      <c r="A741" t="s">
        <v>121</v>
      </c>
      <c r="B741" t="s">
        <v>40</v>
      </c>
      <c r="C741" s="1" t="str">
        <f>HYPERLINK("http://продеталь.рф/search.html?article=BM07054GAC","BM07054GAC")</f>
        <v>BM07054GAC</v>
      </c>
      <c r="D741" t="s">
        <v>2</v>
      </c>
    </row>
    <row r="742" spans="1:4" outlineLevel="1" x14ac:dyDescent="0.25">
      <c r="A742" t="s">
        <v>121</v>
      </c>
      <c r="B742" t="s">
        <v>40</v>
      </c>
      <c r="C742" s="1" t="str">
        <f>HYPERLINK("http://продеталь.рф/search.html?article=4274SL","4274SL")</f>
        <v>4274SL</v>
      </c>
      <c r="D742" t="s">
        <v>36</v>
      </c>
    </row>
    <row r="743" spans="1:4" outlineLevel="1" x14ac:dyDescent="0.25">
      <c r="A743" t="s">
        <v>121</v>
      </c>
      <c r="B743" t="s">
        <v>40</v>
      </c>
      <c r="C743" s="1" t="str">
        <f>HYPERLINK("http://продеталь.рф/search.html?article=4274SR","4274SR")</f>
        <v>4274SR</v>
      </c>
      <c r="D743" t="s">
        <v>36</v>
      </c>
    </row>
    <row r="744" spans="1:4" outlineLevel="1" x14ac:dyDescent="0.25">
      <c r="A744" t="s">
        <v>121</v>
      </c>
      <c r="B744" t="s">
        <v>40</v>
      </c>
      <c r="C744" s="1" t="str">
        <f>HYPERLINK("http://продеталь.рф/search.html?article=4274Q","4274Q")</f>
        <v>4274Q</v>
      </c>
      <c r="D744" t="s">
        <v>36</v>
      </c>
    </row>
    <row r="745" spans="1:4" outlineLevel="1" x14ac:dyDescent="0.25">
      <c r="A745" t="s">
        <v>121</v>
      </c>
      <c r="B745" t="s">
        <v>12</v>
      </c>
      <c r="C745" s="1" t="str">
        <f>HYPERLINK("http://продеталь.рф/search.html?article=BM07020GAL","BM07020GAL")</f>
        <v>BM07020GAL</v>
      </c>
      <c r="D745" t="s">
        <v>2</v>
      </c>
    </row>
    <row r="746" spans="1:4" outlineLevel="1" x14ac:dyDescent="0.25">
      <c r="A746" t="s">
        <v>121</v>
      </c>
      <c r="B746" t="s">
        <v>12</v>
      </c>
      <c r="C746" s="1" t="str">
        <f>HYPERLINK("http://продеталь.рф/search.html?article=BM07020GAR","BM07020GAR")</f>
        <v>BM07020GAR</v>
      </c>
      <c r="D746" t="s">
        <v>2</v>
      </c>
    </row>
    <row r="747" spans="1:4" outlineLevel="1" x14ac:dyDescent="0.25">
      <c r="A747" t="s">
        <v>121</v>
      </c>
      <c r="B747" t="s">
        <v>13</v>
      </c>
      <c r="C747" s="1" t="str">
        <f>HYPERLINK("http://продеталь.рф/search.html?article=BM540000R0000","BM540000R0000")</f>
        <v>BM540000R0000</v>
      </c>
      <c r="D747" t="s">
        <v>9</v>
      </c>
    </row>
    <row r="748" spans="1:4" x14ac:dyDescent="0.25">
      <c r="A748" t="s">
        <v>122</v>
      </c>
      <c r="B748" s="2" t="s">
        <v>122</v>
      </c>
      <c r="C748" s="2"/>
      <c r="D748" s="2"/>
    </row>
    <row r="749" spans="1:4" outlineLevel="1" x14ac:dyDescent="0.25">
      <c r="A749" t="s">
        <v>122</v>
      </c>
      <c r="B749" t="s">
        <v>15</v>
      </c>
      <c r="C749" s="1" t="str">
        <f>HYPERLINK("http://продеталь.рф/search.html?article=3030035","3030035")</f>
        <v>3030035</v>
      </c>
      <c r="D749" t="s">
        <v>4</v>
      </c>
    </row>
    <row r="750" spans="1:4" outlineLevel="1" x14ac:dyDescent="0.25">
      <c r="A750" t="s">
        <v>122</v>
      </c>
      <c r="B750" t="s">
        <v>26</v>
      </c>
      <c r="C750" s="1" t="str">
        <f>HYPERLINK("http://продеталь.рф/search.html?article=BM47001AR","BM47001AR")</f>
        <v>BM47001AR</v>
      </c>
      <c r="D750" t="s">
        <v>99</v>
      </c>
    </row>
    <row r="751" spans="1:4" outlineLevel="1" x14ac:dyDescent="0.25">
      <c r="A751" t="s">
        <v>122</v>
      </c>
      <c r="B751" t="s">
        <v>123</v>
      </c>
      <c r="C751" s="1" t="str">
        <f>HYPERLINK("http://продеталь.рф/search.html?article=BM07008GAR","BM07008GAR")</f>
        <v>BM07008GAR</v>
      </c>
      <c r="D751" t="s">
        <v>2</v>
      </c>
    </row>
    <row r="752" spans="1:4" outlineLevel="1" x14ac:dyDescent="0.25">
      <c r="A752" t="s">
        <v>122</v>
      </c>
      <c r="B752" t="s">
        <v>12</v>
      </c>
      <c r="C752" s="1" t="str">
        <f>HYPERLINK("http://продеталь.рф/search.html?article=BM07008GAC7","BM07008GAC7")</f>
        <v>BM07008GAC7</v>
      </c>
      <c r="D752" t="s">
        <v>2</v>
      </c>
    </row>
    <row r="753" spans="1:4" outlineLevel="1" x14ac:dyDescent="0.25">
      <c r="A753" t="s">
        <v>122</v>
      </c>
      <c r="B753" t="s">
        <v>16</v>
      </c>
      <c r="C753" s="1" t="str">
        <f>HYPERLINK("http://продеталь.рф/search.html?article=185004252","185004252")</f>
        <v>185004252</v>
      </c>
      <c r="D753" t="s">
        <v>4</v>
      </c>
    </row>
    <row r="754" spans="1:4" outlineLevel="1" x14ac:dyDescent="0.25">
      <c r="A754" t="s">
        <v>122</v>
      </c>
      <c r="B754" t="s">
        <v>16</v>
      </c>
      <c r="C754" s="1" t="str">
        <f>HYPERLINK("http://продеталь.рф/search.html?article=ZBM1502KDL","ZBM1502KDL")</f>
        <v>ZBM1502KDL</v>
      </c>
      <c r="D754" t="s">
        <v>6</v>
      </c>
    </row>
    <row r="755" spans="1:4" x14ac:dyDescent="0.25">
      <c r="A755" t="s">
        <v>124</v>
      </c>
      <c r="B755" s="2" t="s">
        <v>124</v>
      </c>
      <c r="C755" s="2"/>
      <c r="D755" s="2"/>
    </row>
    <row r="756" spans="1:4" outlineLevel="1" x14ac:dyDescent="0.25">
      <c r="A756" t="s">
        <v>124</v>
      </c>
      <c r="B756" t="s">
        <v>11</v>
      </c>
      <c r="C756" s="1" t="str">
        <f>HYPERLINK("http://продеталь.рф/search.html?article=BM720000","BM720000")</f>
        <v>BM720000</v>
      </c>
      <c r="D756" t="s">
        <v>9</v>
      </c>
    </row>
    <row r="757" spans="1:4" outlineLevel="1" x14ac:dyDescent="0.25">
      <c r="A757" t="s">
        <v>124</v>
      </c>
      <c r="B757" t="s">
        <v>59</v>
      </c>
      <c r="C757" s="1" t="str">
        <f>HYPERLINK("http://продеталь.рф/search.html?article=BM72000L0","BM72000L0")</f>
        <v>BM72000L0</v>
      </c>
      <c r="D757" t="s">
        <v>9</v>
      </c>
    </row>
    <row r="758" spans="1:4" outlineLevel="1" x14ac:dyDescent="0.25">
      <c r="A758" t="s">
        <v>124</v>
      </c>
      <c r="B758" t="s">
        <v>23</v>
      </c>
      <c r="C758" s="1" t="str">
        <f>HYPERLINK("http://продеталь.рф/search.html?article=ZBM1920KCR","ZBM1920KCR")</f>
        <v>ZBM1920KCR</v>
      </c>
      <c r="D758" t="s">
        <v>6</v>
      </c>
    </row>
    <row r="759" spans="1:4" outlineLevel="1" x14ac:dyDescent="0.25">
      <c r="A759" t="s">
        <v>124</v>
      </c>
      <c r="B759" t="s">
        <v>80</v>
      </c>
      <c r="C759" s="1" t="str">
        <f>HYPERLINK("http://продеталь.рф/search.html?article=312107","312107")</f>
        <v>312107</v>
      </c>
      <c r="D759" t="s">
        <v>21</v>
      </c>
    </row>
    <row r="760" spans="1:4" outlineLevel="1" x14ac:dyDescent="0.25">
      <c r="A760" t="s">
        <v>124</v>
      </c>
      <c r="B760" t="s">
        <v>24</v>
      </c>
      <c r="C760" s="1" t="str">
        <f>HYPERLINK("http://продеталь.рф/search.html?article=BM72016A1","BM72016A1")</f>
        <v>BM72016A1</v>
      </c>
      <c r="D760" t="s">
        <v>9</v>
      </c>
    </row>
    <row r="761" spans="1:4" outlineLevel="1" x14ac:dyDescent="0.25">
      <c r="A761" t="s">
        <v>124</v>
      </c>
      <c r="B761" t="s">
        <v>50</v>
      </c>
      <c r="C761" s="1" t="str">
        <f>HYPERLINK("http://продеталь.рф/search.html?article=UBE0365214","UBE0365214")</f>
        <v>UBE0365214</v>
      </c>
      <c r="D761" t="s">
        <v>2</v>
      </c>
    </row>
    <row r="762" spans="1:4" outlineLevel="1" x14ac:dyDescent="0.25">
      <c r="A762" t="s">
        <v>124</v>
      </c>
      <c r="B762" t="s">
        <v>26</v>
      </c>
      <c r="C762" s="1" t="str">
        <f>HYPERLINK("http://продеталь.рф/search.html?article=BM72000M2","BM72000M2")</f>
        <v>BM72000M2</v>
      </c>
      <c r="D762" t="s">
        <v>9</v>
      </c>
    </row>
    <row r="763" spans="1:4" outlineLevel="1" x14ac:dyDescent="0.25">
      <c r="A763" t="s">
        <v>124</v>
      </c>
      <c r="B763" t="s">
        <v>26</v>
      </c>
      <c r="C763" s="1" t="str">
        <f>HYPERLINK("http://продеталь.рф/search.html?article=BM72000M1","BM72000M1")</f>
        <v>BM72000M1</v>
      </c>
      <c r="D763" t="s">
        <v>9</v>
      </c>
    </row>
    <row r="764" spans="1:4" outlineLevel="1" x14ac:dyDescent="0.25">
      <c r="A764" t="s">
        <v>124</v>
      </c>
      <c r="B764" t="s">
        <v>5</v>
      </c>
      <c r="C764" s="1" t="str">
        <f>HYPERLINK("http://продеталь.рф/search.html?article=213018B","213018B")</f>
        <v>213018B</v>
      </c>
      <c r="D764" t="s">
        <v>21</v>
      </c>
    </row>
    <row r="765" spans="1:4" outlineLevel="1" x14ac:dyDescent="0.25">
      <c r="A765" t="s">
        <v>124</v>
      </c>
      <c r="B765" t="s">
        <v>5</v>
      </c>
      <c r="C765" s="1" t="str">
        <f>HYPERLINK("http://продеталь.рф/search.html?article=213017A","213017A")</f>
        <v>213017A</v>
      </c>
      <c r="D765" t="s">
        <v>21</v>
      </c>
    </row>
    <row r="766" spans="1:4" outlineLevel="1" x14ac:dyDescent="0.25">
      <c r="A766" t="s">
        <v>124</v>
      </c>
      <c r="B766" t="s">
        <v>5</v>
      </c>
      <c r="C766" s="1" t="str">
        <f>HYPERLINK("http://продеталь.рф/search.html?article=213018A","213018A")</f>
        <v>213018A</v>
      </c>
      <c r="D766" t="s">
        <v>21</v>
      </c>
    </row>
    <row r="767" spans="1:4" outlineLevel="1" x14ac:dyDescent="0.25">
      <c r="A767" t="s">
        <v>124</v>
      </c>
      <c r="B767" t="s">
        <v>5</v>
      </c>
      <c r="C767" s="1" t="str">
        <f>HYPERLINK("http://продеталь.рф/search.html?article=213017B","213017B")</f>
        <v>213017B</v>
      </c>
      <c r="D767" t="s">
        <v>21</v>
      </c>
    </row>
    <row r="768" spans="1:4" outlineLevel="1" x14ac:dyDescent="0.25">
      <c r="A768" t="s">
        <v>124</v>
      </c>
      <c r="B768" t="s">
        <v>19</v>
      </c>
      <c r="C768" s="1" t="str">
        <f>HYPERLINK("http://продеталь.рф/search.html?article=ZBM2012L","ZBM2012L")</f>
        <v>ZBM2012L</v>
      </c>
      <c r="D768" t="s">
        <v>6</v>
      </c>
    </row>
    <row r="769" spans="1:4" outlineLevel="1" x14ac:dyDescent="0.25">
      <c r="A769" t="s">
        <v>124</v>
      </c>
      <c r="B769" t="s">
        <v>19</v>
      </c>
      <c r="C769" s="1" t="str">
        <f>HYPERLINK("http://продеталь.рф/search.html?article=ZBM2012KR","ZBM2012KR")</f>
        <v>ZBM2012KR</v>
      </c>
      <c r="D769" t="s">
        <v>6</v>
      </c>
    </row>
    <row r="770" spans="1:4" outlineLevel="1" x14ac:dyDescent="0.25">
      <c r="A770" t="s">
        <v>124</v>
      </c>
      <c r="B770" t="s">
        <v>19</v>
      </c>
      <c r="C770" s="1" t="str">
        <f>HYPERLINK("http://продеталь.рф/search.html?article=19A760059B","19A760059B")</f>
        <v>19A760059B</v>
      </c>
      <c r="D770" t="s">
        <v>4</v>
      </c>
    </row>
    <row r="771" spans="1:4" outlineLevel="1" x14ac:dyDescent="0.25">
      <c r="A771" t="s">
        <v>124</v>
      </c>
      <c r="B771" t="s">
        <v>19</v>
      </c>
      <c r="C771" s="1" t="str">
        <f>HYPERLINK("http://продеталь.рф/search.html?article=19A759059B","19A759059B")</f>
        <v>19A759059B</v>
      </c>
      <c r="D771" t="s">
        <v>4</v>
      </c>
    </row>
    <row r="772" spans="1:4" outlineLevel="1" x14ac:dyDescent="0.25">
      <c r="A772" t="s">
        <v>124</v>
      </c>
      <c r="B772" t="s">
        <v>40</v>
      </c>
      <c r="C772" s="1" t="str">
        <f>HYPERLINK("http://продеталь.рф/search.html?article=BM72000GA0","BM72000GA0")</f>
        <v>BM72000GA0</v>
      </c>
      <c r="D772" t="s">
        <v>9</v>
      </c>
    </row>
    <row r="773" spans="1:4" outlineLevel="1" x14ac:dyDescent="0.25">
      <c r="A773" t="s">
        <v>124</v>
      </c>
      <c r="B773" t="s">
        <v>12</v>
      </c>
      <c r="C773" s="1" t="str">
        <f>HYPERLINK("http://продеталь.рф/search.html?article=BM720931","BM720931")</f>
        <v>BM720931</v>
      </c>
      <c r="D773" t="s">
        <v>9</v>
      </c>
    </row>
    <row r="774" spans="1:4" outlineLevel="1" x14ac:dyDescent="0.25">
      <c r="A774" t="s">
        <v>124</v>
      </c>
      <c r="B774" t="s">
        <v>12</v>
      </c>
      <c r="C774" s="1" t="str">
        <f>HYPERLINK("http://продеталь.рф/search.html?article=BM72093E1","BM72093E1")</f>
        <v>BM72093E1</v>
      </c>
      <c r="D774" t="s">
        <v>9</v>
      </c>
    </row>
    <row r="775" spans="1:4" outlineLevel="1" x14ac:dyDescent="0.25">
      <c r="A775" t="s">
        <v>124</v>
      </c>
      <c r="B775" t="s">
        <v>12</v>
      </c>
      <c r="C775" s="1" t="str">
        <f>HYPERLINK("http://продеталь.рф/search.html?article=BM07014GAL7","BM07014GAL7")</f>
        <v>BM07014GAL7</v>
      </c>
      <c r="D775" t="s">
        <v>2</v>
      </c>
    </row>
    <row r="776" spans="1:4" outlineLevel="1" x14ac:dyDescent="0.25">
      <c r="A776" t="s">
        <v>124</v>
      </c>
      <c r="B776" t="s">
        <v>12</v>
      </c>
      <c r="C776" s="1" t="str">
        <f>HYPERLINK("http://продеталь.рф/search.html?article=BM07014GAR7","BM07014GAR7")</f>
        <v>BM07014GAR7</v>
      </c>
      <c r="D776" t="s">
        <v>2</v>
      </c>
    </row>
    <row r="777" spans="1:4" outlineLevel="1" x14ac:dyDescent="0.25">
      <c r="A777" t="s">
        <v>124</v>
      </c>
      <c r="B777" t="s">
        <v>12</v>
      </c>
      <c r="C777" s="1" t="str">
        <f>HYPERLINK("http://продеталь.рф/search.html?article=BM72093C2","BM72093C2")</f>
        <v>BM72093C2</v>
      </c>
      <c r="D777" t="s">
        <v>9</v>
      </c>
    </row>
    <row r="778" spans="1:4" outlineLevel="1" x14ac:dyDescent="0.25">
      <c r="A778" t="s">
        <v>124</v>
      </c>
      <c r="B778" t="s">
        <v>16</v>
      </c>
      <c r="C778" s="1" t="str">
        <f>HYPERLINK("http://продеталь.рф/search.html?article=183568112","183568112")</f>
        <v>183568112</v>
      </c>
      <c r="D778" t="s">
        <v>4</v>
      </c>
    </row>
    <row r="779" spans="1:4" outlineLevel="1" x14ac:dyDescent="0.25">
      <c r="A779" t="s">
        <v>124</v>
      </c>
      <c r="B779" t="s">
        <v>16</v>
      </c>
      <c r="C779" s="1" t="str">
        <f>HYPERLINK("http://продеталь.рф/search.html?article=183567112","183567112")</f>
        <v>183567112</v>
      </c>
      <c r="D779" t="s">
        <v>4</v>
      </c>
    </row>
    <row r="780" spans="1:4" outlineLevel="1" x14ac:dyDescent="0.25">
      <c r="A780" t="s">
        <v>124</v>
      </c>
      <c r="B780" t="s">
        <v>13</v>
      </c>
      <c r="C780" s="1" t="str">
        <f>HYPERLINK("http://продеталь.рф/search.html?article=BM72000R0","BM72000R0")</f>
        <v>BM72000R0</v>
      </c>
      <c r="D780" t="s">
        <v>9</v>
      </c>
    </row>
    <row r="781" spans="1:4" outlineLevel="1" x14ac:dyDescent="0.25">
      <c r="A781" t="s">
        <v>124</v>
      </c>
      <c r="B781" t="s">
        <v>119</v>
      </c>
      <c r="C781" s="1" t="str">
        <f>HYPERLINK("http://продеталь.рф/search.html?article=BM72000MB2","BM72000MB2")</f>
        <v>BM72000MB2</v>
      </c>
      <c r="D781" t="s">
        <v>9</v>
      </c>
    </row>
    <row r="782" spans="1:4" outlineLevel="1" x14ac:dyDescent="0.25">
      <c r="A782" t="s">
        <v>124</v>
      </c>
      <c r="B782" t="s">
        <v>119</v>
      </c>
      <c r="C782" s="1" t="str">
        <f>HYPERLINK("http://продеталь.рф/search.html?article=BM72000MC2","BM72000MC2")</f>
        <v>BM72000MC2</v>
      </c>
      <c r="D782" t="s">
        <v>9</v>
      </c>
    </row>
    <row r="783" spans="1:4" outlineLevel="1" x14ac:dyDescent="0.25">
      <c r="A783" t="s">
        <v>124</v>
      </c>
      <c r="B783" t="s">
        <v>119</v>
      </c>
      <c r="C783" s="1" t="str">
        <f>HYPERLINK("http://продеталь.рф/search.html?article=BM04015MDR","BM04015MDR")</f>
        <v>BM04015MDR</v>
      </c>
      <c r="D783" t="s">
        <v>2</v>
      </c>
    </row>
    <row r="784" spans="1:4" x14ac:dyDescent="0.25">
      <c r="A784" t="s">
        <v>125</v>
      </c>
      <c r="B784" s="2" t="s">
        <v>125</v>
      </c>
      <c r="C784" s="2"/>
      <c r="D784" s="2"/>
    </row>
    <row r="785" spans="1:4" outlineLevel="1" x14ac:dyDescent="0.25">
      <c r="A785" t="s">
        <v>125</v>
      </c>
      <c r="B785" t="s">
        <v>35</v>
      </c>
      <c r="C785" s="1" t="str">
        <f>HYPERLINK("http://продеталь.рф/search.html?article=BM33013AC","BM33013AC")</f>
        <v>BM33013AC</v>
      </c>
      <c r="D785" t="s">
        <v>2</v>
      </c>
    </row>
    <row r="786" spans="1:4" outlineLevel="1" x14ac:dyDescent="0.25">
      <c r="A786" t="s">
        <v>125</v>
      </c>
      <c r="B786" t="s">
        <v>35</v>
      </c>
      <c r="C786" s="1" t="str">
        <f>HYPERLINK("http://продеталь.рф/search.html?article=PBM60013AL","PBM60013AL")</f>
        <v>PBM60013AL</v>
      </c>
      <c r="D786" t="s">
        <v>2</v>
      </c>
    </row>
    <row r="787" spans="1:4" outlineLevel="1" x14ac:dyDescent="0.25">
      <c r="A787" t="s">
        <v>125</v>
      </c>
      <c r="B787" t="s">
        <v>35</v>
      </c>
      <c r="C787" s="1" t="str">
        <f>HYPERLINK("http://продеталь.рф/search.html?article=BM33013AR","BM33013AR")</f>
        <v>BM33013AR</v>
      </c>
      <c r="D787" t="s">
        <v>2</v>
      </c>
    </row>
    <row r="788" spans="1:4" outlineLevel="1" x14ac:dyDescent="0.25">
      <c r="A788" t="s">
        <v>125</v>
      </c>
      <c r="B788" t="s">
        <v>60</v>
      </c>
      <c r="C788" s="1" t="str">
        <f>HYPERLINK("http://продеталь.рф/search.html?article=BM04052MAC","BM04052MAC")</f>
        <v>BM04052MAC</v>
      </c>
      <c r="D788" t="s">
        <v>2</v>
      </c>
    </row>
    <row r="789" spans="1:4" outlineLevel="1" x14ac:dyDescent="0.25">
      <c r="A789" t="s">
        <v>125</v>
      </c>
      <c r="B789" t="s">
        <v>60</v>
      </c>
      <c r="C789" s="1" t="str">
        <f>HYPERLINK("http://продеталь.рф/search.html?article=BM04053MAL","BM04053MAL")</f>
        <v>BM04053MAL</v>
      </c>
      <c r="D789" t="s">
        <v>2</v>
      </c>
    </row>
    <row r="790" spans="1:4" outlineLevel="1" x14ac:dyDescent="0.25">
      <c r="A790" t="s">
        <v>125</v>
      </c>
      <c r="B790" t="s">
        <v>27</v>
      </c>
      <c r="C790" s="1" t="str">
        <f>HYPERLINK("http://продеталь.рф/search.html?article=PBM30018AR","PBM30018AR")</f>
        <v>PBM30018AR</v>
      </c>
      <c r="D790" t="s">
        <v>6</v>
      </c>
    </row>
    <row r="791" spans="1:4" outlineLevel="1" x14ac:dyDescent="0.25">
      <c r="A791" t="s">
        <v>125</v>
      </c>
      <c r="B791" t="s">
        <v>5</v>
      </c>
      <c r="C791" s="1" t="str">
        <f>HYPERLINK("http://продеталь.рф/search.html?article=BM73016L2","BM73016L2")</f>
        <v>BM73016L2</v>
      </c>
      <c r="D791" t="s">
        <v>9</v>
      </c>
    </row>
    <row r="792" spans="1:4" outlineLevel="1" x14ac:dyDescent="0.25">
      <c r="A792" t="s">
        <v>125</v>
      </c>
      <c r="B792" t="s">
        <v>55</v>
      </c>
      <c r="C792" s="1" t="str">
        <f>HYPERLINK("http://продеталь.рф/search.html?article=PBM07022MC","PBM07022MC")</f>
        <v>PBM07022MC</v>
      </c>
      <c r="D792" t="s">
        <v>6</v>
      </c>
    </row>
    <row r="793" spans="1:4" outlineLevel="1" x14ac:dyDescent="0.25">
      <c r="A793" t="s">
        <v>125</v>
      </c>
      <c r="B793" t="s">
        <v>12</v>
      </c>
      <c r="C793" s="1" t="str">
        <f>HYPERLINK("http://продеталь.рф/search.html?article=PBM07022GC","PBM07022GC")</f>
        <v>PBM07022GC</v>
      </c>
      <c r="D793" t="s">
        <v>6</v>
      </c>
    </row>
    <row r="794" spans="1:4" x14ac:dyDescent="0.25">
      <c r="A794" t="s">
        <v>126</v>
      </c>
      <c r="B794" s="2" t="s">
        <v>126</v>
      </c>
      <c r="C794" s="2"/>
      <c r="D794" s="2"/>
    </row>
    <row r="795" spans="1:4" outlineLevel="1" x14ac:dyDescent="0.25">
      <c r="A795" t="s">
        <v>126</v>
      </c>
      <c r="B795" t="s">
        <v>24</v>
      </c>
      <c r="C795" s="1" t="str">
        <f>HYPERLINK("http://продеталь.рф/search.html?article=PBM10025AR","PBM10025AR")</f>
        <v>PBM10025AR</v>
      </c>
      <c r="D795" t="s">
        <v>6</v>
      </c>
    </row>
    <row r="796" spans="1:4" outlineLevel="1" x14ac:dyDescent="0.25">
      <c r="A796" t="s">
        <v>126</v>
      </c>
      <c r="B796" t="s">
        <v>3</v>
      </c>
      <c r="C796" s="1" t="str">
        <f>HYPERLINK("http://продеталь.рф/search.html?article=20A536A52B","20A536A52B")</f>
        <v>20A536A52B</v>
      </c>
      <c r="D796" t="s">
        <v>4</v>
      </c>
    </row>
    <row r="797" spans="1:4" outlineLevel="1" x14ac:dyDescent="0.25">
      <c r="A797" t="s">
        <v>126</v>
      </c>
      <c r="B797" t="s">
        <v>3</v>
      </c>
      <c r="C797" s="1" t="str">
        <f>HYPERLINK("http://продеталь.рф/search.html?article=20A535A52B","20A535A52B")</f>
        <v>20A535A52B</v>
      </c>
      <c r="D797" t="s">
        <v>4</v>
      </c>
    </row>
    <row r="798" spans="1:4" outlineLevel="1" x14ac:dyDescent="0.25">
      <c r="A798" t="s">
        <v>126</v>
      </c>
      <c r="B798" t="s">
        <v>5</v>
      </c>
      <c r="C798" s="1" t="str">
        <f>HYPERLINK("http://продеталь.рф/search.html?article=PBM11025AR","PBM11025AR")</f>
        <v>PBM11025AR</v>
      </c>
      <c r="D798" t="s">
        <v>6</v>
      </c>
    </row>
    <row r="799" spans="1:4" x14ac:dyDescent="0.25">
      <c r="A799" t="s">
        <v>127</v>
      </c>
      <c r="B799" s="2" t="s">
        <v>127</v>
      </c>
      <c r="C799" s="2"/>
      <c r="D799" s="2"/>
    </row>
    <row r="800" spans="1:4" outlineLevel="1" x14ac:dyDescent="0.25">
      <c r="A800" t="s">
        <v>127</v>
      </c>
      <c r="B800" t="s">
        <v>11</v>
      </c>
      <c r="C800" s="1" t="str">
        <f>HYPERLINK("http://продеталь.рф/search.html?article=PBM04031BA","PBM04031BA")</f>
        <v>PBM04031BA</v>
      </c>
      <c r="D800" t="s">
        <v>6</v>
      </c>
    </row>
    <row r="801" spans="1:4" outlineLevel="1" x14ac:dyDescent="0.25">
      <c r="A801" t="s">
        <v>127</v>
      </c>
      <c r="B801" t="s">
        <v>26</v>
      </c>
      <c r="C801" s="1" t="str">
        <f>HYPERLINK("http://продеталь.рф/search.html?article=BM04031MAL","BM04031MAL")</f>
        <v>BM04031MAL</v>
      </c>
      <c r="D801" t="s">
        <v>2</v>
      </c>
    </row>
    <row r="802" spans="1:4" outlineLevel="1" x14ac:dyDescent="0.25">
      <c r="A802" t="s">
        <v>127</v>
      </c>
      <c r="B802" t="s">
        <v>26</v>
      </c>
      <c r="C802" s="1" t="str">
        <f>HYPERLINK("http://продеталь.рф/search.html?article=BM04031MAR","BM04031MAR")</f>
        <v>BM04031MAR</v>
      </c>
      <c r="D802" t="s">
        <v>2</v>
      </c>
    </row>
    <row r="803" spans="1:4" outlineLevel="1" x14ac:dyDescent="0.25">
      <c r="A803" t="s">
        <v>127</v>
      </c>
      <c r="B803" t="s">
        <v>5</v>
      </c>
      <c r="C803" s="1" t="str">
        <f>HYPERLINK("http://продеталь.рф/search.html?article=BMX5016L1","BMX5016L1")</f>
        <v>BMX5016L1</v>
      </c>
      <c r="D803" t="s">
        <v>9</v>
      </c>
    </row>
    <row r="804" spans="1:4" outlineLevel="1" x14ac:dyDescent="0.25">
      <c r="A804" t="s">
        <v>127</v>
      </c>
      <c r="B804" t="s">
        <v>19</v>
      </c>
      <c r="C804" s="1" t="str">
        <f>HYPERLINK("http://продеталь.рф/search.html?article=190304119","190304119")</f>
        <v>190304119</v>
      </c>
      <c r="D804" t="s">
        <v>4</v>
      </c>
    </row>
    <row r="805" spans="1:4" outlineLevel="1" x14ac:dyDescent="0.25">
      <c r="A805" t="s">
        <v>127</v>
      </c>
      <c r="B805" t="s">
        <v>19</v>
      </c>
      <c r="C805" s="1" t="str">
        <f>HYPERLINK("http://продеталь.рф/search.html?article=195715059B","195715059B")</f>
        <v>195715059B</v>
      </c>
      <c r="D805" t="s">
        <v>4</v>
      </c>
    </row>
    <row r="806" spans="1:4" outlineLevel="1" x14ac:dyDescent="0.25">
      <c r="A806" t="s">
        <v>127</v>
      </c>
      <c r="B806" t="s">
        <v>12</v>
      </c>
      <c r="C806" s="1" t="str">
        <f>HYPERLINK("http://продеталь.рф/search.html?article=UBK0132111","UBK0132111")</f>
        <v>UBK0132111</v>
      </c>
      <c r="D806" t="s">
        <v>2</v>
      </c>
    </row>
    <row r="807" spans="1:4" outlineLevel="1" x14ac:dyDescent="0.25">
      <c r="A807" t="s">
        <v>127</v>
      </c>
      <c r="B807" t="s">
        <v>32</v>
      </c>
      <c r="C807" s="1" t="str">
        <f>HYPERLINK("http://продеталь.рф/search.html?article=SBMM1007EL","SBMM1007EL")</f>
        <v>SBMM1007EL</v>
      </c>
      <c r="D807" t="s">
        <v>6</v>
      </c>
    </row>
    <row r="808" spans="1:4" outlineLevel="1" x14ac:dyDescent="0.25">
      <c r="A808" t="s">
        <v>127</v>
      </c>
      <c r="B808" t="s">
        <v>32</v>
      </c>
      <c r="C808" s="1" t="str">
        <f>HYPERLINK("http://продеталь.рф/search.html?article=SBMM1007ER","SBMM1007ER")</f>
        <v>SBMM1007ER</v>
      </c>
      <c r="D808" t="s">
        <v>6</v>
      </c>
    </row>
    <row r="809" spans="1:4" outlineLevel="1" x14ac:dyDescent="0.25">
      <c r="A809" t="s">
        <v>127</v>
      </c>
      <c r="B809" t="s">
        <v>75</v>
      </c>
      <c r="C809" s="1" t="str">
        <f>HYPERLINK("http://продеталь.рф/search.html?article=180460159","180460159")</f>
        <v>180460159</v>
      </c>
      <c r="D809" t="s">
        <v>4</v>
      </c>
    </row>
    <row r="810" spans="1:4" outlineLevel="1" x14ac:dyDescent="0.25">
      <c r="A810" t="s">
        <v>127</v>
      </c>
      <c r="B810" t="s">
        <v>75</v>
      </c>
      <c r="C810" s="1" t="str">
        <f>HYPERLINK("http://продеталь.рф/search.html?article=180459159","180459159")</f>
        <v>180459159</v>
      </c>
      <c r="D810" t="s">
        <v>4</v>
      </c>
    </row>
    <row r="811" spans="1:4" x14ac:dyDescent="0.25">
      <c r="A811" t="s">
        <v>128</v>
      </c>
      <c r="B811" s="2" t="s">
        <v>128</v>
      </c>
      <c r="C811" s="2"/>
      <c r="D811" s="2"/>
    </row>
    <row r="812" spans="1:4" outlineLevel="1" x14ac:dyDescent="0.25">
      <c r="A812" t="s">
        <v>128</v>
      </c>
      <c r="B812" t="s">
        <v>32</v>
      </c>
      <c r="C812" s="1" t="str">
        <f>HYPERLINK("http://продеталь.рф/search.html?article=SBMM1013ER","SBMM1013ER")</f>
        <v>SBMM1013ER</v>
      </c>
      <c r="D812" t="s">
        <v>6</v>
      </c>
    </row>
    <row r="813" spans="1:4" x14ac:dyDescent="0.25">
      <c r="A813" t="s">
        <v>129</v>
      </c>
      <c r="B813" s="2" t="s">
        <v>129</v>
      </c>
      <c r="C813" s="2"/>
      <c r="D813" s="2"/>
    </row>
    <row r="814" spans="1:4" outlineLevel="1" x14ac:dyDescent="0.25">
      <c r="A814" t="s">
        <v>129</v>
      </c>
      <c r="B814" t="s">
        <v>11</v>
      </c>
      <c r="C814" s="1" t="str">
        <f>HYPERLINK("http://продеталь.рф/search.html?article=CD350000","CD350000")</f>
        <v>CD350000</v>
      </c>
      <c r="D814" t="s">
        <v>9</v>
      </c>
    </row>
    <row r="815" spans="1:4" outlineLevel="1" x14ac:dyDescent="0.25">
      <c r="A815" t="s">
        <v>129</v>
      </c>
      <c r="B815" t="s">
        <v>13</v>
      </c>
      <c r="C815" s="1" t="str">
        <f>HYPERLINK("http://продеталь.рф/search.html?article=CD35000R0","CD35000R0")</f>
        <v>CD35000R0</v>
      </c>
      <c r="D815" t="s">
        <v>9</v>
      </c>
    </row>
    <row r="816" spans="1:4" x14ac:dyDescent="0.25">
      <c r="A816" t="s">
        <v>130</v>
      </c>
      <c r="B816" s="2" t="s">
        <v>130</v>
      </c>
      <c r="C816" s="2"/>
      <c r="D816" s="2"/>
    </row>
    <row r="817" spans="1:4" outlineLevel="1" x14ac:dyDescent="0.25">
      <c r="A817" t="s">
        <v>130</v>
      </c>
      <c r="B817" t="s">
        <v>11</v>
      </c>
      <c r="C817" s="1" t="str">
        <f>HYPERLINK("http://продеталь.рф/search.html?article=CD04004BB","CD04004BB")</f>
        <v>CD04004BB</v>
      </c>
      <c r="D817" t="s">
        <v>2</v>
      </c>
    </row>
    <row r="818" spans="1:4" x14ac:dyDescent="0.25">
      <c r="A818" t="s">
        <v>131</v>
      </c>
      <c r="B818" s="2" t="s">
        <v>131</v>
      </c>
      <c r="C818" s="2"/>
      <c r="D818" s="2"/>
    </row>
    <row r="819" spans="1:4" outlineLevel="1" x14ac:dyDescent="0.25">
      <c r="A819" t="s">
        <v>131</v>
      </c>
      <c r="B819" t="s">
        <v>3</v>
      </c>
      <c r="C819" s="1" t="str">
        <f>HYPERLINK("http://продеталь.рф/search.html?article=ZCY1101RK","ZCY1101RK")</f>
        <v>ZCY1101RK</v>
      </c>
      <c r="D819" t="s">
        <v>6</v>
      </c>
    </row>
    <row r="820" spans="1:4" x14ac:dyDescent="0.25">
      <c r="A820" t="s">
        <v>132</v>
      </c>
      <c r="B820" s="2" t="s">
        <v>132</v>
      </c>
      <c r="C820" s="2"/>
      <c r="D820" s="2"/>
    </row>
    <row r="821" spans="1:4" outlineLevel="1" x14ac:dyDescent="0.25">
      <c r="A821" t="s">
        <v>132</v>
      </c>
      <c r="B821" t="s">
        <v>79</v>
      </c>
      <c r="C821" s="1" t="str">
        <f>HYPERLINK("http://продеталь.рф/search.html?article=CVA5004B0","CVA5004B0")</f>
        <v>CVA5004B0</v>
      </c>
      <c r="D821" t="s">
        <v>9</v>
      </c>
    </row>
    <row r="822" spans="1:4" outlineLevel="1" x14ac:dyDescent="0.25">
      <c r="A822" t="s">
        <v>132</v>
      </c>
      <c r="B822" t="s">
        <v>79</v>
      </c>
      <c r="C822" s="1" t="str">
        <f>HYPERLINK("http://продеталь.рф/search.html?article=682CVR006","682CVR006")</f>
        <v>682CVR006</v>
      </c>
      <c r="D822" t="s">
        <v>4</v>
      </c>
    </row>
    <row r="823" spans="1:4" outlineLevel="1" x14ac:dyDescent="0.25">
      <c r="A823" t="s">
        <v>132</v>
      </c>
      <c r="B823" t="s">
        <v>74</v>
      </c>
      <c r="C823" s="1" t="str">
        <f>HYPERLINK("http://продеталь.рф/search.html?article=CVA5004A0","CVA5004A0")</f>
        <v>CVA5004A0</v>
      </c>
      <c r="D823" t="s">
        <v>9</v>
      </c>
    </row>
    <row r="824" spans="1:4" outlineLevel="1" x14ac:dyDescent="0.25">
      <c r="A824" t="s">
        <v>132</v>
      </c>
      <c r="B824" t="s">
        <v>3</v>
      </c>
      <c r="C824" s="1" t="str">
        <f>HYPERLINK("http://продеталь.рф/search.html?article=CVA52121","CVA52121")</f>
        <v>CVA52121</v>
      </c>
      <c r="D824" t="s">
        <v>9</v>
      </c>
    </row>
    <row r="825" spans="1:4" outlineLevel="1" x14ac:dyDescent="0.25">
      <c r="A825" t="s">
        <v>132</v>
      </c>
      <c r="B825" t="s">
        <v>3</v>
      </c>
      <c r="C825" s="1" t="str">
        <f>HYPERLINK("http://продеталь.рф/search.html?article=200532052","200532052")</f>
        <v>200532052</v>
      </c>
      <c r="D825" t="s">
        <v>4</v>
      </c>
    </row>
    <row r="826" spans="1:4" outlineLevel="1" x14ac:dyDescent="0.25">
      <c r="A826" t="s">
        <v>132</v>
      </c>
      <c r="B826" t="s">
        <v>3</v>
      </c>
      <c r="C826" s="1" t="str">
        <f>HYPERLINK("http://продеталь.рф/search.html?article=200531052","200531052")</f>
        <v>200531052</v>
      </c>
      <c r="D826" t="s">
        <v>4</v>
      </c>
    </row>
    <row r="827" spans="1:4" outlineLevel="1" x14ac:dyDescent="0.25">
      <c r="A827" t="s">
        <v>132</v>
      </c>
      <c r="B827" t="s">
        <v>5</v>
      </c>
      <c r="C827" s="1" t="str">
        <f>HYPERLINK("http://продеталь.рф/search.html?article=CVA5016L2","CVA5016L2")</f>
        <v>CVA5016L2</v>
      </c>
      <c r="D827" t="s">
        <v>9</v>
      </c>
    </row>
    <row r="828" spans="1:4" outlineLevel="1" x14ac:dyDescent="0.25">
      <c r="A828" t="s">
        <v>132</v>
      </c>
      <c r="B828" t="s">
        <v>5</v>
      </c>
      <c r="C828" s="1" t="str">
        <f>HYPERLINK("http://продеталь.рф/search.html?article=CVA5016L1","CVA5016L1")</f>
        <v>CVA5016L1</v>
      </c>
      <c r="D828" t="s">
        <v>9</v>
      </c>
    </row>
    <row r="829" spans="1:4" outlineLevel="1" x14ac:dyDescent="0.25">
      <c r="A829" t="s">
        <v>132</v>
      </c>
      <c r="B829" t="s">
        <v>28</v>
      </c>
      <c r="C829" s="1" t="str">
        <f>HYPERLINK("http://продеталь.рф/search.html?article=RA61637","RA61637")</f>
        <v>RA61637</v>
      </c>
      <c r="D829" t="s">
        <v>6</v>
      </c>
    </row>
    <row r="830" spans="1:4" outlineLevel="1" x14ac:dyDescent="0.25">
      <c r="A830" t="s">
        <v>132</v>
      </c>
      <c r="B830" t="s">
        <v>8</v>
      </c>
      <c r="C830" s="1" t="str">
        <f>HYPERLINK("http://продеталь.рф/search.html?article=RC94641","RC94641")</f>
        <v>RC94641</v>
      </c>
      <c r="D830" t="s">
        <v>6</v>
      </c>
    </row>
    <row r="831" spans="1:4" x14ac:dyDescent="0.25">
      <c r="A831" t="s">
        <v>133</v>
      </c>
      <c r="B831" s="2" t="s">
        <v>133</v>
      </c>
      <c r="C831" s="2"/>
      <c r="D831" s="2"/>
    </row>
    <row r="832" spans="1:4" outlineLevel="1" x14ac:dyDescent="0.25">
      <c r="A832" t="s">
        <v>133</v>
      </c>
      <c r="B832" t="s">
        <v>11</v>
      </c>
      <c r="C832" s="1" t="str">
        <f>HYPERLINK("http://продеталь.рф/search.html?article=PCV04166BA","PCV04166BA")</f>
        <v>PCV04166BA</v>
      </c>
      <c r="D832" t="s">
        <v>6</v>
      </c>
    </row>
    <row r="833" spans="1:4" outlineLevel="1" x14ac:dyDescent="0.25">
      <c r="A833" t="s">
        <v>133</v>
      </c>
      <c r="B833" t="s">
        <v>24</v>
      </c>
      <c r="C833" s="1" t="str">
        <f>HYPERLINK("http://продеталь.рф/search.html?article=PCV10105AL","PCV10105AL")</f>
        <v>PCV10105AL</v>
      </c>
      <c r="D833" t="s">
        <v>6</v>
      </c>
    </row>
    <row r="834" spans="1:4" outlineLevel="1" x14ac:dyDescent="0.25">
      <c r="A834" t="s">
        <v>133</v>
      </c>
      <c r="B834" t="s">
        <v>24</v>
      </c>
      <c r="C834" s="1" t="str">
        <f>HYPERLINK("http://продеталь.рф/search.html?article=PCV10105AR","PCV10105AR")</f>
        <v>PCV10105AR</v>
      </c>
      <c r="D834" t="s">
        <v>6</v>
      </c>
    </row>
    <row r="835" spans="1:4" outlineLevel="1" x14ac:dyDescent="0.25">
      <c r="A835" t="s">
        <v>133</v>
      </c>
      <c r="B835" t="s">
        <v>134</v>
      </c>
      <c r="C835" s="1" t="str">
        <f>HYPERLINK("http://продеталь.рф/search.html?article=PCV27080A","PCV27080A")</f>
        <v>PCV27080A</v>
      </c>
      <c r="D835" t="s">
        <v>6</v>
      </c>
    </row>
    <row r="836" spans="1:4" outlineLevel="1" x14ac:dyDescent="0.25">
      <c r="A836" t="s">
        <v>133</v>
      </c>
      <c r="B836" t="s">
        <v>27</v>
      </c>
      <c r="C836" s="1" t="str">
        <f>HYPERLINK("http://продеталь.рф/search.html?article=PCV30076A","PCV30076A")</f>
        <v>PCV30076A</v>
      </c>
      <c r="D836" t="s">
        <v>6</v>
      </c>
    </row>
    <row r="837" spans="1:4" outlineLevel="1" x14ac:dyDescent="0.25">
      <c r="A837" t="s">
        <v>133</v>
      </c>
      <c r="B837" t="s">
        <v>3</v>
      </c>
      <c r="C837" s="1" t="str">
        <f>HYPERLINK("http://продеталь.рф/search.html?article=ZCV1104L","ZCV1104L")</f>
        <v>ZCV1104L</v>
      </c>
      <c r="D837" t="s">
        <v>6</v>
      </c>
    </row>
    <row r="838" spans="1:4" outlineLevel="1" x14ac:dyDescent="0.25">
      <c r="A838" t="s">
        <v>133</v>
      </c>
      <c r="B838" t="s">
        <v>3</v>
      </c>
      <c r="C838" s="1" t="str">
        <f>HYPERLINK("http://продеталь.рф/search.html?article=ZCV1104R","ZCV1104R")</f>
        <v>ZCV1104R</v>
      </c>
      <c r="D838" t="s">
        <v>6</v>
      </c>
    </row>
    <row r="839" spans="1:4" outlineLevel="1" x14ac:dyDescent="0.25">
      <c r="A839" t="s">
        <v>133</v>
      </c>
      <c r="B839" t="s">
        <v>5</v>
      </c>
      <c r="C839" s="1" t="str">
        <f>HYPERLINK("http://продеталь.рф/search.html?article=CV11105AR","CV11105AR")</f>
        <v>CV11105AR</v>
      </c>
      <c r="D839" t="s">
        <v>2</v>
      </c>
    </row>
    <row r="840" spans="1:4" outlineLevel="1" x14ac:dyDescent="0.25">
      <c r="A840" t="s">
        <v>133</v>
      </c>
      <c r="B840" t="s">
        <v>5</v>
      </c>
      <c r="C840" s="1" t="str">
        <f>HYPERLINK("http://продеталь.рф/search.html?article=CV11105AL","CV11105AL")</f>
        <v>CV11105AL</v>
      </c>
      <c r="D840" t="s">
        <v>2</v>
      </c>
    </row>
    <row r="841" spans="1:4" outlineLevel="1" x14ac:dyDescent="0.25">
      <c r="A841" t="s">
        <v>133</v>
      </c>
      <c r="B841" t="s">
        <v>28</v>
      </c>
      <c r="C841" s="1" t="str">
        <f>HYPERLINK("http://продеталь.рф/search.html?article=301645H","301645H")</f>
        <v>301645H</v>
      </c>
      <c r="D841" t="s">
        <v>135</v>
      </c>
    </row>
    <row r="842" spans="1:4" outlineLevel="1" x14ac:dyDescent="0.25">
      <c r="A842" t="s">
        <v>133</v>
      </c>
      <c r="B842" t="s">
        <v>75</v>
      </c>
      <c r="C842" s="1" t="str">
        <f>HYPERLINK("http://продеталь.рф/search.html?article=ZCV1412","ZCV1412")</f>
        <v>ZCV1412</v>
      </c>
      <c r="D842" t="s">
        <v>6</v>
      </c>
    </row>
    <row r="843" spans="1:4" outlineLevel="1" x14ac:dyDescent="0.25">
      <c r="A843" t="s">
        <v>133</v>
      </c>
      <c r="B843" t="s">
        <v>13</v>
      </c>
      <c r="C843" s="1" t="str">
        <f>HYPERLINK("http://продеталь.рф/search.html?article=CV04000R0","CV04000R0")</f>
        <v>CV04000R0</v>
      </c>
      <c r="D843" t="s">
        <v>9</v>
      </c>
    </row>
    <row r="844" spans="1:4" x14ac:dyDescent="0.25">
      <c r="A844" t="s">
        <v>136</v>
      </c>
      <c r="B844" s="2" t="s">
        <v>136</v>
      </c>
      <c r="C844" s="2"/>
      <c r="D844" s="2"/>
    </row>
    <row r="845" spans="1:4" outlineLevel="1" x14ac:dyDescent="0.25">
      <c r="A845" t="s">
        <v>136</v>
      </c>
      <c r="B845" t="s">
        <v>1</v>
      </c>
      <c r="C845" s="1" t="str">
        <f>HYPERLINK("http://продеталь.рф/search.html?article=301CV0067","301CV0067")</f>
        <v>301CV0067</v>
      </c>
      <c r="D845" t="s">
        <v>4</v>
      </c>
    </row>
    <row r="846" spans="1:4" outlineLevel="1" x14ac:dyDescent="0.25">
      <c r="A846" t="s">
        <v>136</v>
      </c>
      <c r="B846" t="s">
        <v>24</v>
      </c>
      <c r="C846" s="1" t="str">
        <f>HYPERLINK("http://продеталь.рф/search.html?article=PCV10123BL","PCV10123BL")</f>
        <v>PCV10123BL</v>
      </c>
      <c r="D846" t="s">
        <v>6</v>
      </c>
    </row>
    <row r="847" spans="1:4" outlineLevel="1" x14ac:dyDescent="0.25">
      <c r="A847" t="s">
        <v>136</v>
      </c>
      <c r="B847" t="s">
        <v>24</v>
      </c>
      <c r="C847" s="1" t="str">
        <f>HYPERLINK("http://продеталь.рф/search.html?article=PCV10123BR","PCV10123BR")</f>
        <v>PCV10123BR</v>
      </c>
      <c r="D847" t="s">
        <v>6</v>
      </c>
    </row>
    <row r="848" spans="1:4" outlineLevel="1" x14ac:dyDescent="0.25">
      <c r="A848" t="s">
        <v>136</v>
      </c>
      <c r="B848" t="s">
        <v>27</v>
      </c>
      <c r="C848" s="1" t="str">
        <f>HYPERLINK("http://продеталь.рф/search.html?article=PCV30087A","PCV30087A")</f>
        <v>PCV30087A</v>
      </c>
      <c r="D848" t="s">
        <v>6</v>
      </c>
    </row>
    <row r="849" spans="1:4" outlineLevel="1" x14ac:dyDescent="0.25">
      <c r="A849" t="s">
        <v>136</v>
      </c>
      <c r="B849" t="s">
        <v>30</v>
      </c>
      <c r="C849" s="1" t="str">
        <f>HYPERLINK("http://продеталь.рф/search.html?article=PCV99027CAL","PCV99027CAL")</f>
        <v>PCV99027CAL</v>
      </c>
      <c r="D849" t="s">
        <v>6</v>
      </c>
    </row>
    <row r="850" spans="1:4" outlineLevel="1" x14ac:dyDescent="0.25">
      <c r="A850" t="s">
        <v>136</v>
      </c>
      <c r="B850" t="s">
        <v>30</v>
      </c>
      <c r="C850" s="1" t="str">
        <f>HYPERLINK("http://продеталь.рф/search.html?article=PCV99027CAR","PCV99027CAR")</f>
        <v>PCV99027CAR</v>
      </c>
      <c r="D850" t="s">
        <v>6</v>
      </c>
    </row>
    <row r="851" spans="1:4" outlineLevel="1" x14ac:dyDescent="0.25">
      <c r="A851" t="s">
        <v>136</v>
      </c>
      <c r="B851" t="s">
        <v>40</v>
      </c>
      <c r="C851" s="1" t="str">
        <f>HYPERLINK("http://продеталь.рф/search.html?article=PCV99026CAL","PCV99026CAL")</f>
        <v>PCV99026CAL</v>
      </c>
      <c r="D851" t="s">
        <v>6</v>
      </c>
    </row>
    <row r="852" spans="1:4" outlineLevel="1" x14ac:dyDescent="0.25">
      <c r="A852" t="s">
        <v>136</v>
      </c>
      <c r="B852" t="s">
        <v>40</v>
      </c>
      <c r="C852" s="1" t="str">
        <f>HYPERLINK("http://продеталь.рф/search.html?article=PCV99026CAR","PCV99026CAR")</f>
        <v>PCV99026CAR</v>
      </c>
      <c r="D852" t="s">
        <v>6</v>
      </c>
    </row>
    <row r="853" spans="1:4" outlineLevel="1" x14ac:dyDescent="0.25">
      <c r="A853" t="s">
        <v>136</v>
      </c>
      <c r="B853" t="s">
        <v>40</v>
      </c>
      <c r="C853" s="1" t="str">
        <f>HYPERLINK("http://продеталь.рф/search.html?article=PCV99213GA","PCV99213GA")</f>
        <v>PCV99213GA</v>
      </c>
      <c r="D853" t="s">
        <v>6</v>
      </c>
    </row>
    <row r="854" spans="1:4" outlineLevel="1" x14ac:dyDescent="0.25">
      <c r="A854" t="s">
        <v>136</v>
      </c>
      <c r="B854" t="s">
        <v>13</v>
      </c>
      <c r="C854" s="1" t="str">
        <f>HYPERLINK("http://продеталь.рф/search.html?article=372CVF051","372CVF051")</f>
        <v>372CVF051</v>
      </c>
      <c r="D854" t="s">
        <v>4</v>
      </c>
    </row>
    <row r="855" spans="1:4" x14ac:dyDescent="0.25">
      <c r="A855" t="s">
        <v>137</v>
      </c>
      <c r="B855" s="2" t="s">
        <v>137</v>
      </c>
      <c r="C855" s="2"/>
      <c r="D855" s="2"/>
    </row>
    <row r="856" spans="1:4" outlineLevel="1" x14ac:dyDescent="0.25">
      <c r="A856" t="s">
        <v>137</v>
      </c>
      <c r="B856" t="s">
        <v>24</v>
      </c>
      <c r="C856" s="1" t="str">
        <f>HYPERLINK("http://продеталь.рф/search.html?article=PCV10127AL","PCV10127AL")</f>
        <v>PCV10127AL</v>
      </c>
      <c r="D856" t="s">
        <v>6</v>
      </c>
    </row>
    <row r="857" spans="1:4" x14ac:dyDescent="0.25">
      <c r="A857" t="s">
        <v>138</v>
      </c>
      <c r="B857" s="2" t="s">
        <v>138</v>
      </c>
      <c r="C857" s="2"/>
      <c r="D857" s="2"/>
    </row>
    <row r="858" spans="1:4" outlineLevel="1" x14ac:dyDescent="0.25">
      <c r="A858" t="s">
        <v>138</v>
      </c>
      <c r="B858" t="s">
        <v>15</v>
      </c>
      <c r="C858" s="1" t="str">
        <f>HYPERLINK("http://продеталь.рф/search.html?article=CVM1064BL","CVM1064BL")</f>
        <v>CVM1064BL</v>
      </c>
      <c r="D858" t="s">
        <v>2</v>
      </c>
    </row>
    <row r="859" spans="1:4" outlineLevel="1" x14ac:dyDescent="0.25">
      <c r="A859" t="s">
        <v>138</v>
      </c>
      <c r="B859" t="s">
        <v>15</v>
      </c>
      <c r="C859" s="1" t="str">
        <f>HYPERLINK("http://продеталь.рф/search.html?article=CVM1064BR","CVM1064BR")</f>
        <v>CVM1064BR</v>
      </c>
      <c r="D859" t="s">
        <v>2</v>
      </c>
    </row>
    <row r="860" spans="1:4" outlineLevel="1" x14ac:dyDescent="0.25">
      <c r="A860" t="s">
        <v>138</v>
      </c>
      <c r="B860" t="s">
        <v>23</v>
      </c>
      <c r="C860" s="1" t="str">
        <f>HYPERLINK("http://продеталь.рф/search.html?article=ZCV1910R","ZCV1910R")</f>
        <v>ZCV1910R</v>
      </c>
      <c r="D860" t="s">
        <v>6</v>
      </c>
    </row>
    <row r="861" spans="1:4" outlineLevel="1" x14ac:dyDescent="0.25">
      <c r="A861" t="s">
        <v>138</v>
      </c>
      <c r="B861" t="s">
        <v>27</v>
      </c>
      <c r="C861" s="1" t="str">
        <f>HYPERLINK("http://продеталь.рф/search.html?article=PCV30088AU","PCV30088AU")</f>
        <v>PCV30088AU</v>
      </c>
      <c r="D861" t="s">
        <v>6</v>
      </c>
    </row>
    <row r="862" spans="1:4" outlineLevel="1" x14ac:dyDescent="0.25">
      <c r="A862" t="s">
        <v>138</v>
      </c>
      <c r="B862" t="s">
        <v>3</v>
      </c>
      <c r="C862" s="1" t="str">
        <f>HYPERLINK("http://продеталь.рф/search.html?article=20C940052B","20C940052B")</f>
        <v>20C940052B</v>
      </c>
      <c r="D862" t="s">
        <v>4</v>
      </c>
    </row>
    <row r="863" spans="1:4" outlineLevel="1" x14ac:dyDescent="0.25">
      <c r="A863" t="s">
        <v>138</v>
      </c>
      <c r="B863" t="s">
        <v>3</v>
      </c>
      <c r="C863" s="1" t="str">
        <f>HYPERLINK("http://продеталь.рф/search.html?article=20C939052B","20C939052B")</f>
        <v>20C939052B</v>
      </c>
      <c r="D863" t="s">
        <v>4</v>
      </c>
    </row>
    <row r="864" spans="1:4" outlineLevel="1" x14ac:dyDescent="0.25">
      <c r="A864" t="s">
        <v>138</v>
      </c>
      <c r="B864" t="s">
        <v>139</v>
      </c>
      <c r="C864" s="1" t="str">
        <f>HYPERLINK("http://продеталь.рф/search.html?article=CV21110AR","CV21110AR")</f>
        <v>CV21110AR</v>
      </c>
      <c r="D864" t="s">
        <v>2</v>
      </c>
    </row>
    <row r="865" spans="1:4" outlineLevel="1" x14ac:dyDescent="0.25">
      <c r="A865" t="s">
        <v>138</v>
      </c>
      <c r="B865" t="s">
        <v>19</v>
      </c>
      <c r="C865" s="1" t="str">
        <f>HYPERLINK("http://продеталь.рф/search.html?article=195991019B","195991019B")</f>
        <v>195991019B</v>
      </c>
      <c r="D865" t="s">
        <v>4</v>
      </c>
    </row>
    <row r="866" spans="1:4" outlineLevel="1" x14ac:dyDescent="0.25">
      <c r="A866" t="s">
        <v>138</v>
      </c>
      <c r="B866" t="s">
        <v>19</v>
      </c>
      <c r="C866" s="1" t="str">
        <f>HYPERLINK("http://продеталь.рф/search.html?article=195992019B","195992019B")</f>
        <v>195992019B</v>
      </c>
      <c r="D866" t="s">
        <v>4</v>
      </c>
    </row>
    <row r="867" spans="1:4" outlineLevel="1" x14ac:dyDescent="0.25">
      <c r="A867" t="s">
        <v>138</v>
      </c>
      <c r="B867" t="s">
        <v>19</v>
      </c>
      <c r="C867" s="1" t="str">
        <f>HYPERLINK("http://продеталь.рф/search.html?article=ZCV2006LK","ZCV2006LK")</f>
        <v>ZCV2006LK</v>
      </c>
      <c r="D867" t="s">
        <v>6</v>
      </c>
    </row>
    <row r="868" spans="1:4" outlineLevel="1" x14ac:dyDescent="0.25">
      <c r="A868" t="s">
        <v>138</v>
      </c>
      <c r="B868" t="s">
        <v>71</v>
      </c>
      <c r="C868" s="1" t="str">
        <f>HYPERLINK("http://продеталь.рф/search.html?article=CV28101300000","CV28101300000")</f>
        <v>CV28101300000</v>
      </c>
      <c r="D868" t="s">
        <v>9</v>
      </c>
    </row>
    <row r="869" spans="1:4" outlineLevel="1" x14ac:dyDescent="0.25">
      <c r="A869" t="s">
        <v>138</v>
      </c>
      <c r="B869" t="s">
        <v>13</v>
      </c>
      <c r="C869" s="1" t="str">
        <f>HYPERLINK("http://продеталь.рф/search.html?article=PCV44001A","PCV44001A")</f>
        <v>PCV44001A</v>
      </c>
      <c r="D869" t="s">
        <v>6</v>
      </c>
    </row>
    <row r="870" spans="1:4" x14ac:dyDescent="0.25">
      <c r="A870" t="s">
        <v>140</v>
      </c>
      <c r="B870" s="2" t="s">
        <v>140</v>
      </c>
      <c r="C870" s="2"/>
      <c r="D870" s="2"/>
    </row>
    <row r="871" spans="1:4" outlineLevel="1" x14ac:dyDescent="0.25">
      <c r="A871" t="s">
        <v>140</v>
      </c>
      <c r="B871" t="s">
        <v>12</v>
      </c>
      <c r="C871" s="1" t="str">
        <f>HYPERLINK("http://продеталь.рф/search.html?article=PCV07160GA","PCV07160GA")</f>
        <v>PCV07160GA</v>
      </c>
      <c r="D871" t="s">
        <v>6</v>
      </c>
    </row>
    <row r="872" spans="1:4" x14ac:dyDescent="0.25">
      <c r="A872" t="s">
        <v>141</v>
      </c>
      <c r="B872" s="2" t="s">
        <v>141</v>
      </c>
      <c r="C872" s="2"/>
      <c r="D872" s="2"/>
    </row>
    <row r="873" spans="1:4" outlineLevel="1" x14ac:dyDescent="0.25">
      <c r="A873" t="s">
        <v>141</v>
      </c>
      <c r="B873" t="s">
        <v>11</v>
      </c>
      <c r="C873" s="1" t="str">
        <f>HYPERLINK("http://продеталь.рф/search.html?article=CV04141BA","CV04141BA")</f>
        <v>CV04141BA</v>
      </c>
      <c r="D873" t="s">
        <v>2</v>
      </c>
    </row>
    <row r="874" spans="1:4" outlineLevel="1" x14ac:dyDescent="0.25">
      <c r="A874" t="s">
        <v>141</v>
      </c>
      <c r="B874" t="s">
        <v>11</v>
      </c>
      <c r="C874" s="1" t="str">
        <f>HYPERLINK("http://продеталь.рф/search.html?article=PCV04131BAK","PCV04131BAK")</f>
        <v>PCV04131BAK</v>
      </c>
      <c r="D874" t="s">
        <v>6</v>
      </c>
    </row>
    <row r="875" spans="1:4" outlineLevel="1" x14ac:dyDescent="0.25">
      <c r="A875" t="s">
        <v>141</v>
      </c>
      <c r="B875" t="s">
        <v>15</v>
      </c>
      <c r="C875" s="1" t="str">
        <f>HYPERLINK("http://продеталь.рф/search.html?article=VCVM1050EL","VCVM1050EL")</f>
        <v>VCVM1050EL</v>
      </c>
      <c r="D875" t="s">
        <v>6</v>
      </c>
    </row>
    <row r="876" spans="1:4" outlineLevel="1" x14ac:dyDescent="0.25">
      <c r="A876" t="s">
        <v>141</v>
      </c>
      <c r="B876" t="s">
        <v>79</v>
      </c>
      <c r="C876" s="1" t="str">
        <f>HYPERLINK("http://продеталь.рф/search.html?article=CV20100400000","CV20100400000")</f>
        <v>CV20100400000</v>
      </c>
      <c r="D876" t="s">
        <v>9</v>
      </c>
    </row>
    <row r="877" spans="1:4" outlineLevel="1" x14ac:dyDescent="0.25">
      <c r="A877" t="s">
        <v>141</v>
      </c>
      <c r="B877" t="s">
        <v>3</v>
      </c>
      <c r="C877" s="1" t="str">
        <f>HYPERLINK("http://продеталь.рф/search.html?article=ZCV1103L","ZCV1103L")</f>
        <v>ZCV1103L</v>
      </c>
      <c r="D877" t="s">
        <v>6</v>
      </c>
    </row>
    <row r="878" spans="1:4" outlineLevel="1" x14ac:dyDescent="0.25">
      <c r="A878" t="s">
        <v>141</v>
      </c>
      <c r="B878" t="s">
        <v>3</v>
      </c>
      <c r="C878" s="1" t="str">
        <f>HYPERLINK("http://продеталь.рф/search.html?article=ZCV1103R","ZCV1103R")</f>
        <v>ZCV1103R</v>
      </c>
      <c r="D878" t="s">
        <v>6</v>
      </c>
    </row>
    <row r="879" spans="1:4" outlineLevel="1" x14ac:dyDescent="0.25">
      <c r="A879" t="s">
        <v>141</v>
      </c>
      <c r="B879" t="s">
        <v>5</v>
      </c>
      <c r="C879" s="1" t="str">
        <f>HYPERLINK("http://продеталь.рф/search.html?article=213601","213601")</f>
        <v>213601</v>
      </c>
      <c r="D879" t="s">
        <v>21</v>
      </c>
    </row>
    <row r="880" spans="1:4" outlineLevel="1" x14ac:dyDescent="0.25">
      <c r="A880" t="s">
        <v>141</v>
      </c>
      <c r="B880" t="s">
        <v>5</v>
      </c>
      <c r="C880" s="1" t="str">
        <f>HYPERLINK("http://продеталь.рф/search.html?article=213602","213602")</f>
        <v>213602</v>
      </c>
      <c r="D880" t="s">
        <v>21</v>
      </c>
    </row>
    <row r="881" spans="1:4" outlineLevel="1" x14ac:dyDescent="0.25">
      <c r="A881" t="s">
        <v>141</v>
      </c>
      <c r="B881" t="s">
        <v>5</v>
      </c>
      <c r="C881" s="1" t="str">
        <f>HYPERLINK("http://продеталь.рф/search.html?article=213603","213603")</f>
        <v>213603</v>
      </c>
      <c r="D881" t="s">
        <v>21</v>
      </c>
    </row>
    <row r="882" spans="1:4" outlineLevel="1" x14ac:dyDescent="0.25">
      <c r="A882" t="s">
        <v>141</v>
      </c>
      <c r="B882" t="s">
        <v>5</v>
      </c>
      <c r="C882" s="1" t="str">
        <f>HYPERLINK("http://продеталь.рф/search.html?article=213604","213604")</f>
        <v>213604</v>
      </c>
      <c r="D882" t="s">
        <v>21</v>
      </c>
    </row>
    <row r="883" spans="1:4" outlineLevel="1" x14ac:dyDescent="0.25">
      <c r="A883" t="s">
        <v>141</v>
      </c>
      <c r="B883" t="s">
        <v>19</v>
      </c>
      <c r="C883" s="1" t="str">
        <f>HYPERLINK("http://продеталь.рф/search.html?article=ZCV2002L","ZCV2002L")</f>
        <v>ZCV2002L</v>
      </c>
      <c r="D883" t="s">
        <v>6</v>
      </c>
    </row>
    <row r="884" spans="1:4" outlineLevel="1" x14ac:dyDescent="0.25">
      <c r="A884" t="s">
        <v>141</v>
      </c>
      <c r="B884" t="s">
        <v>19</v>
      </c>
      <c r="C884" s="1" t="str">
        <f>HYPERLINK("http://продеталь.рф/search.html?article=ZCV2002R","ZCV2002R")</f>
        <v>ZCV2002R</v>
      </c>
      <c r="D884" t="s">
        <v>6</v>
      </c>
    </row>
    <row r="885" spans="1:4" outlineLevel="1" x14ac:dyDescent="0.25">
      <c r="A885" t="s">
        <v>141</v>
      </c>
      <c r="B885" t="s">
        <v>13</v>
      </c>
      <c r="C885" s="1" t="str">
        <f>HYPERLINK("http://продеталь.рф/search.html?article=DW170000R0000","DW170000R0000")</f>
        <v>DW170000R0000</v>
      </c>
      <c r="D885" t="s">
        <v>9</v>
      </c>
    </row>
    <row r="886" spans="1:4" x14ac:dyDescent="0.25">
      <c r="A886" t="s">
        <v>142</v>
      </c>
      <c r="B886" s="2" t="s">
        <v>142</v>
      </c>
      <c r="C886" s="2"/>
      <c r="D886" s="2"/>
    </row>
    <row r="887" spans="1:4" outlineLevel="1" x14ac:dyDescent="0.25">
      <c r="A887" t="s">
        <v>142</v>
      </c>
      <c r="B887" t="s">
        <v>11</v>
      </c>
      <c r="C887" s="1" t="str">
        <f>HYPERLINK("http://продеталь.рф/search.html?article=PCV04162BA","PCV04162BA")</f>
        <v>PCV04162BA</v>
      </c>
      <c r="D887" t="s">
        <v>2</v>
      </c>
    </row>
    <row r="888" spans="1:4" outlineLevel="1" x14ac:dyDescent="0.25">
      <c r="A888" t="s">
        <v>142</v>
      </c>
      <c r="B888" t="s">
        <v>51</v>
      </c>
      <c r="C888" s="1" t="str">
        <f>HYPERLINK("http://продеталь.рф/search.html?article=CV30079AW","CV30079AW")</f>
        <v>CV30079AW</v>
      </c>
      <c r="D888" t="s">
        <v>2</v>
      </c>
    </row>
    <row r="889" spans="1:4" outlineLevel="1" x14ac:dyDescent="0.25">
      <c r="A889" t="s">
        <v>142</v>
      </c>
      <c r="B889" t="s">
        <v>27</v>
      </c>
      <c r="C889" s="1" t="str">
        <f>HYPERLINK("http://продеталь.рф/search.html?article=CV30079AU","CV30079AU")</f>
        <v>CV30079AU</v>
      </c>
      <c r="D889" t="s">
        <v>2</v>
      </c>
    </row>
    <row r="890" spans="1:4" outlineLevel="1" x14ac:dyDescent="0.25">
      <c r="A890" t="s">
        <v>142</v>
      </c>
      <c r="B890" t="s">
        <v>3</v>
      </c>
      <c r="C890" s="1" t="str">
        <f>HYPERLINK("http://продеталь.рф/search.html?article=ZCV1118R","ZCV1118R")</f>
        <v>ZCV1118R</v>
      </c>
      <c r="D890" t="s">
        <v>6</v>
      </c>
    </row>
    <row r="891" spans="1:4" x14ac:dyDescent="0.25">
      <c r="A891" t="s">
        <v>143</v>
      </c>
      <c r="B891" s="2" t="s">
        <v>143</v>
      </c>
      <c r="C891" s="2"/>
      <c r="D891" s="2"/>
    </row>
    <row r="892" spans="1:4" outlineLevel="1" x14ac:dyDescent="0.25">
      <c r="A892" t="s">
        <v>143</v>
      </c>
      <c r="B892" t="s">
        <v>23</v>
      </c>
      <c r="C892" s="1" t="str">
        <f>HYPERLINK("http://продеталь.рф/search.html?article=11B827012B","11B827012B")</f>
        <v>11B827012B</v>
      </c>
      <c r="D892" t="s">
        <v>4</v>
      </c>
    </row>
    <row r="893" spans="1:4" x14ac:dyDescent="0.25">
      <c r="A893" t="s">
        <v>144</v>
      </c>
      <c r="B893" s="2" t="s">
        <v>144</v>
      </c>
      <c r="C893" s="2"/>
      <c r="D893" s="2"/>
    </row>
    <row r="894" spans="1:4" outlineLevel="1" x14ac:dyDescent="0.25">
      <c r="A894" t="s">
        <v>144</v>
      </c>
      <c r="B894" t="s">
        <v>11</v>
      </c>
      <c r="C894" s="1" t="str">
        <f>HYPERLINK("http://продеталь.рф/search.html?article=CR04030BA","CR04030BA")</f>
        <v>CR04030BA</v>
      </c>
      <c r="D894" t="s">
        <v>2</v>
      </c>
    </row>
    <row r="895" spans="1:4" outlineLevel="1" x14ac:dyDescent="0.25">
      <c r="A895" t="s">
        <v>144</v>
      </c>
      <c r="B895" t="s">
        <v>15</v>
      </c>
      <c r="C895" s="1" t="str">
        <f>HYPERLINK("http://продеталь.рф/search.html?article=CR67941B1","CR67941B1")</f>
        <v>CR67941B1</v>
      </c>
      <c r="D895" t="s">
        <v>9</v>
      </c>
    </row>
    <row r="896" spans="1:4" outlineLevel="1" x14ac:dyDescent="0.25">
      <c r="A896" t="s">
        <v>144</v>
      </c>
      <c r="B896" t="s">
        <v>24</v>
      </c>
      <c r="C896" s="1" t="str">
        <f>HYPERLINK("http://продеталь.рф/search.html?article=PCR10013AL","PCR10013AL")</f>
        <v>PCR10013AL</v>
      </c>
      <c r="D896" t="s">
        <v>6</v>
      </c>
    </row>
    <row r="897" spans="1:4" outlineLevel="1" x14ac:dyDescent="0.25">
      <c r="A897" t="s">
        <v>144</v>
      </c>
      <c r="B897" t="s">
        <v>24</v>
      </c>
      <c r="C897" s="1" t="str">
        <f>HYPERLINK("http://продеталь.рф/search.html?article=PCR10013AR","PCR10013AR")</f>
        <v>PCR10013AR</v>
      </c>
      <c r="D897" t="s">
        <v>6</v>
      </c>
    </row>
    <row r="898" spans="1:4" outlineLevel="1" x14ac:dyDescent="0.25">
      <c r="A898" t="s">
        <v>144</v>
      </c>
      <c r="B898" t="s">
        <v>26</v>
      </c>
      <c r="C898" s="1" t="str">
        <f>HYPERLINK("http://продеталь.рф/search.html?article=CR04030MAR","CR04030MAR")</f>
        <v>CR04030MAR</v>
      </c>
      <c r="D898" t="s">
        <v>2</v>
      </c>
    </row>
    <row r="899" spans="1:4" outlineLevel="1" x14ac:dyDescent="0.25">
      <c r="A899" t="s">
        <v>144</v>
      </c>
      <c r="B899" t="s">
        <v>26</v>
      </c>
      <c r="C899" s="1" t="str">
        <f>HYPERLINK("http://продеталь.рф/search.html?article=PCR04027MBL","PCR04027MBL")</f>
        <v>PCR04027MBL</v>
      </c>
      <c r="D899" t="s">
        <v>6</v>
      </c>
    </row>
    <row r="900" spans="1:4" outlineLevel="1" x14ac:dyDescent="0.25">
      <c r="A900" t="s">
        <v>144</v>
      </c>
      <c r="B900" t="s">
        <v>27</v>
      </c>
      <c r="C900" s="1" t="str">
        <f>HYPERLINK("http://продеталь.рф/search.html?article=CR03001A","CR03001A")</f>
        <v>CR03001A</v>
      </c>
      <c r="D900" t="s">
        <v>2</v>
      </c>
    </row>
    <row r="901" spans="1:4" outlineLevel="1" x14ac:dyDescent="0.25">
      <c r="A901" t="s">
        <v>144</v>
      </c>
      <c r="B901" t="s">
        <v>3</v>
      </c>
      <c r="C901" s="1" t="str">
        <f>HYPERLINK("http://продеталь.рф/search.html?article=206706001A","206706001A")</f>
        <v>206706001A</v>
      </c>
      <c r="D901" t="s">
        <v>4</v>
      </c>
    </row>
    <row r="902" spans="1:4" outlineLevel="1" x14ac:dyDescent="0.25">
      <c r="A902" t="s">
        <v>144</v>
      </c>
      <c r="B902" t="s">
        <v>3</v>
      </c>
      <c r="C902" s="1" t="str">
        <f>HYPERLINK("http://продеталь.рф/search.html?article=206705001A","206705001A")</f>
        <v>206705001A</v>
      </c>
      <c r="D902" t="s">
        <v>4</v>
      </c>
    </row>
    <row r="903" spans="1:4" outlineLevel="1" x14ac:dyDescent="0.25">
      <c r="A903" t="s">
        <v>144</v>
      </c>
      <c r="B903" t="s">
        <v>5</v>
      </c>
      <c r="C903" s="1" t="str">
        <f>HYPERLINK("http://продеталь.рф/search.html?article=CR67016L2","CR67016L2")</f>
        <v>CR67016L2</v>
      </c>
      <c r="D903" t="s">
        <v>9</v>
      </c>
    </row>
    <row r="904" spans="1:4" outlineLevel="1" x14ac:dyDescent="0.25">
      <c r="A904" t="s">
        <v>144</v>
      </c>
      <c r="B904" t="s">
        <v>12</v>
      </c>
      <c r="C904" s="1" t="str">
        <f>HYPERLINK("http://продеталь.рф/search.html?article=CR670930","CR670930")</f>
        <v>CR670930</v>
      </c>
      <c r="D904" t="s">
        <v>9</v>
      </c>
    </row>
    <row r="905" spans="1:4" outlineLevel="1" x14ac:dyDescent="0.25">
      <c r="A905" t="s">
        <v>144</v>
      </c>
      <c r="B905" t="s">
        <v>12</v>
      </c>
      <c r="C905" s="1" t="str">
        <f>HYPERLINK("http://продеталь.рф/search.html?article=CR67093A0","CR67093A0")</f>
        <v>CR67093A0</v>
      </c>
      <c r="D905" t="s">
        <v>9</v>
      </c>
    </row>
    <row r="906" spans="1:4" outlineLevel="1" x14ac:dyDescent="0.25">
      <c r="A906" t="s">
        <v>144</v>
      </c>
      <c r="B906" t="s">
        <v>64</v>
      </c>
      <c r="C906" s="1" t="str">
        <f>HYPERLINK("http://продеталь.рф/search.html?article=186015001A","186015001A")</f>
        <v>186015001A</v>
      </c>
      <c r="D906" t="s">
        <v>4</v>
      </c>
    </row>
    <row r="907" spans="1:4" outlineLevel="1" x14ac:dyDescent="0.25">
      <c r="A907" t="s">
        <v>144</v>
      </c>
      <c r="B907" t="s">
        <v>64</v>
      </c>
      <c r="C907" s="1" t="str">
        <f>HYPERLINK("http://продеталь.рф/search.html?article=186016001A","186016001A")</f>
        <v>186016001A</v>
      </c>
      <c r="D907" t="s">
        <v>4</v>
      </c>
    </row>
    <row r="908" spans="1:4" outlineLevel="1" x14ac:dyDescent="0.25">
      <c r="A908" t="s">
        <v>144</v>
      </c>
      <c r="B908" t="s">
        <v>13</v>
      </c>
      <c r="C908" s="1" t="str">
        <f>HYPERLINK("http://продеталь.рф/search.html?article=CR44020A","CR44020A")</f>
        <v>CR44020A</v>
      </c>
      <c r="D908" t="s">
        <v>2</v>
      </c>
    </row>
    <row r="909" spans="1:4" x14ac:dyDescent="0.25">
      <c r="A909" t="s">
        <v>145</v>
      </c>
      <c r="B909" s="2" t="s">
        <v>145</v>
      </c>
      <c r="C909" s="2"/>
      <c r="D909" s="2"/>
    </row>
    <row r="910" spans="1:4" outlineLevel="1" x14ac:dyDescent="0.25">
      <c r="A910" t="s">
        <v>145</v>
      </c>
      <c r="B910" t="s">
        <v>11</v>
      </c>
      <c r="C910" s="1" t="str">
        <f>HYPERLINK("http://продеталь.рф/search.html?article=CR66000F0","CR66000F0")</f>
        <v>CR66000F0</v>
      </c>
      <c r="D910" t="s">
        <v>9</v>
      </c>
    </row>
    <row r="911" spans="1:4" outlineLevel="1" x14ac:dyDescent="0.25">
      <c r="A911" t="s">
        <v>145</v>
      </c>
      <c r="B911" t="s">
        <v>28</v>
      </c>
      <c r="C911" s="1" t="str">
        <f>HYPERLINK("http://продеталь.рф/search.html?article=RA61005A69016","RA61005A69016")</f>
        <v>RA61005A69016</v>
      </c>
      <c r="D911" t="s">
        <v>6</v>
      </c>
    </row>
    <row r="912" spans="1:4" outlineLevel="1" x14ac:dyDescent="0.25">
      <c r="A912" t="s">
        <v>145</v>
      </c>
      <c r="B912" t="s">
        <v>12</v>
      </c>
      <c r="C912" s="1" t="str">
        <f>HYPERLINK("http://продеталь.рф/search.html?article=CR07018GA","CR07018GA")</f>
        <v>CR07018GA</v>
      </c>
      <c r="D912" t="s">
        <v>2</v>
      </c>
    </row>
    <row r="913" spans="1:4" outlineLevel="1" x14ac:dyDescent="0.25">
      <c r="A913" t="s">
        <v>145</v>
      </c>
      <c r="B913" t="s">
        <v>12</v>
      </c>
      <c r="C913" s="1" t="str">
        <f>HYPERLINK("http://продеталь.рф/search.html?article=CR66093A0","CR66093A0")</f>
        <v>CR66093A0</v>
      </c>
      <c r="D913" t="s">
        <v>9</v>
      </c>
    </row>
    <row r="914" spans="1:4" x14ac:dyDescent="0.25">
      <c r="A914" t="s">
        <v>146</v>
      </c>
      <c r="B914" s="2" t="s">
        <v>146</v>
      </c>
      <c r="C914" s="2"/>
      <c r="D914" s="2"/>
    </row>
    <row r="915" spans="1:4" outlineLevel="1" x14ac:dyDescent="0.25">
      <c r="A915" t="s">
        <v>146</v>
      </c>
      <c r="B915" t="s">
        <v>11</v>
      </c>
      <c r="C915" s="1" t="str">
        <f>HYPERLINK("http://продеталь.рф/search.html?article=CR04022BA","CR04022BA")</f>
        <v>CR04022BA</v>
      </c>
      <c r="D915" t="s">
        <v>2</v>
      </c>
    </row>
    <row r="916" spans="1:4" outlineLevel="1" x14ac:dyDescent="0.25">
      <c r="A916" t="s">
        <v>146</v>
      </c>
      <c r="B916" t="s">
        <v>11</v>
      </c>
      <c r="C916" s="1" t="str">
        <f>HYPERLINK("http://продеталь.рф/search.html?article=DG72000001000","DG72000001000")</f>
        <v>DG72000001000</v>
      </c>
      <c r="D916" t="s">
        <v>9</v>
      </c>
    </row>
    <row r="917" spans="1:4" outlineLevel="1" x14ac:dyDescent="0.25">
      <c r="A917" t="s">
        <v>146</v>
      </c>
      <c r="B917" t="s">
        <v>79</v>
      </c>
      <c r="C917" s="1" t="str">
        <f>HYPERLINK("http://продеталь.рф/search.html?article=CR66003A","CR66003A")</f>
        <v>CR66003A</v>
      </c>
      <c r="D917" t="s">
        <v>2</v>
      </c>
    </row>
    <row r="918" spans="1:4" outlineLevel="1" x14ac:dyDescent="0.25">
      <c r="A918" t="s">
        <v>146</v>
      </c>
      <c r="B918" t="s">
        <v>147</v>
      </c>
      <c r="C918" s="1" t="str">
        <f>HYPERLINK("http://продеталь.рф/search.html?article=185986001A","185986001A")</f>
        <v>185986001A</v>
      </c>
      <c r="D918" t="s">
        <v>4</v>
      </c>
    </row>
    <row r="919" spans="1:4" outlineLevel="1" x14ac:dyDescent="0.25">
      <c r="A919" t="s">
        <v>146</v>
      </c>
      <c r="B919" t="s">
        <v>147</v>
      </c>
      <c r="C919" s="1" t="str">
        <f>HYPERLINK("http://продеталь.рф/search.html?article=185985001A","185985001A")</f>
        <v>185985001A</v>
      </c>
      <c r="D919" t="s">
        <v>4</v>
      </c>
    </row>
    <row r="920" spans="1:4" outlineLevel="1" x14ac:dyDescent="0.25">
      <c r="A920" t="s">
        <v>146</v>
      </c>
      <c r="B920" t="s">
        <v>5</v>
      </c>
      <c r="C920" s="1" t="str">
        <f>HYPERLINK("http://продеталь.рф/search.html?article=CR800016L0L00","CR800016L0L00")</f>
        <v>CR800016L0L00</v>
      </c>
      <c r="D920" t="s">
        <v>9</v>
      </c>
    </row>
    <row r="921" spans="1:4" outlineLevel="1" x14ac:dyDescent="0.25">
      <c r="A921" t="s">
        <v>146</v>
      </c>
      <c r="B921" t="s">
        <v>5</v>
      </c>
      <c r="C921" s="1" t="str">
        <f>HYPERLINK("http://продеталь.рф/search.html?article=CR11011BL","CR11011BL")</f>
        <v>CR11011BL</v>
      </c>
      <c r="D921" t="s">
        <v>2</v>
      </c>
    </row>
    <row r="922" spans="1:4" outlineLevel="1" x14ac:dyDescent="0.25">
      <c r="A922" t="s">
        <v>146</v>
      </c>
      <c r="B922" t="s">
        <v>19</v>
      </c>
      <c r="C922" s="1" t="str">
        <f>HYPERLINK("http://продеталь.рф/search.html?article=195615001A","195615001A")</f>
        <v>195615001A</v>
      </c>
      <c r="D922" t="s">
        <v>4</v>
      </c>
    </row>
    <row r="923" spans="1:4" outlineLevel="1" x14ac:dyDescent="0.25">
      <c r="A923" t="s">
        <v>146</v>
      </c>
      <c r="B923" t="s">
        <v>8</v>
      </c>
      <c r="C923" s="1" t="str">
        <f>HYPERLINK("http://продеталь.рф/search.html?article=RC9501094906","RC9501094906")</f>
        <v>RC9501094906</v>
      </c>
      <c r="D923" t="s">
        <v>6</v>
      </c>
    </row>
    <row r="924" spans="1:4" x14ac:dyDescent="0.25">
      <c r="A924" t="s">
        <v>148</v>
      </c>
      <c r="B924" s="2" t="s">
        <v>148</v>
      </c>
      <c r="C924" s="2"/>
      <c r="D924" s="2"/>
    </row>
    <row r="925" spans="1:4" outlineLevel="1" x14ac:dyDescent="0.25">
      <c r="A925" t="s">
        <v>148</v>
      </c>
      <c r="B925" t="s">
        <v>11</v>
      </c>
      <c r="C925" s="1" t="str">
        <f>HYPERLINK("http://продеталь.рф/search.html?article=CR61000002000","CR61000002000")</f>
        <v>CR61000002000</v>
      </c>
      <c r="D925" t="s">
        <v>9</v>
      </c>
    </row>
    <row r="926" spans="1:4" outlineLevel="1" x14ac:dyDescent="0.25">
      <c r="A926" t="s">
        <v>148</v>
      </c>
      <c r="B926" t="s">
        <v>15</v>
      </c>
      <c r="C926" s="1" t="str">
        <f>HYPERLINK("http://продеталь.рф/search.html?article=CRM1010AL","CRM1010AL")</f>
        <v>CRM1010AL</v>
      </c>
      <c r="D926" t="s">
        <v>2</v>
      </c>
    </row>
    <row r="927" spans="1:4" outlineLevel="1" x14ac:dyDescent="0.25">
      <c r="A927" t="s">
        <v>148</v>
      </c>
      <c r="B927" t="s">
        <v>15</v>
      </c>
      <c r="C927" s="1" t="str">
        <f>HYPERLINK("http://продеталь.рф/search.html?article=CRM1010AR","CRM1010AR")</f>
        <v>CRM1010AR</v>
      </c>
      <c r="D927" t="s">
        <v>2</v>
      </c>
    </row>
    <row r="928" spans="1:4" outlineLevel="1" x14ac:dyDescent="0.25">
      <c r="A928" t="s">
        <v>148</v>
      </c>
      <c r="B928" t="s">
        <v>15</v>
      </c>
      <c r="C928" s="1" t="str">
        <f>HYPERLINK("http://продеталь.рф/search.html?article=CRM1010BL","CRM1010BL")</f>
        <v>CRM1010BL</v>
      </c>
      <c r="D928" t="s">
        <v>2</v>
      </c>
    </row>
    <row r="929" spans="1:4" outlineLevel="1" x14ac:dyDescent="0.25">
      <c r="A929" t="s">
        <v>148</v>
      </c>
      <c r="B929" t="s">
        <v>23</v>
      </c>
      <c r="C929" s="1" t="str">
        <f>HYPERLINK("http://продеталь.рф/search.html?article=11550201","11550201")</f>
        <v>11550201</v>
      </c>
      <c r="D929" t="s">
        <v>4</v>
      </c>
    </row>
    <row r="930" spans="1:4" outlineLevel="1" x14ac:dyDescent="0.25">
      <c r="A930" t="s">
        <v>148</v>
      </c>
      <c r="B930" t="s">
        <v>23</v>
      </c>
      <c r="C930" s="1" t="str">
        <f>HYPERLINK("http://продеталь.рф/search.html?article=11550101","11550101")</f>
        <v>11550101</v>
      </c>
      <c r="D930" t="s">
        <v>4</v>
      </c>
    </row>
    <row r="931" spans="1:4" outlineLevel="1" x14ac:dyDescent="0.25">
      <c r="A931" t="s">
        <v>148</v>
      </c>
      <c r="B931" t="s">
        <v>23</v>
      </c>
      <c r="C931" s="1" t="str">
        <f>HYPERLINK("http://продеталь.рф/search.html?article=17507501","17507501")</f>
        <v>17507501</v>
      </c>
      <c r="D931" t="s">
        <v>4</v>
      </c>
    </row>
    <row r="932" spans="1:4" outlineLevel="1" x14ac:dyDescent="0.25">
      <c r="A932" t="s">
        <v>148</v>
      </c>
      <c r="B932" t="s">
        <v>23</v>
      </c>
      <c r="C932" s="1" t="str">
        <f>HYPERLINK("http://продеталь.рф/search.html?article=11617500","11617500")</f>
        <v>11617500</v>
      </c>
      <c r="D932" t="s">
        <v>4</v>
      </c>
    </row>
    <row r="933" spans="1:4" outlineLevel="1" x14ac:dyDescent="0.25">
      <c r="A933" t="s">
        <v>148</v>
      </c>
      <c r="B933" t="s">
        <v>149</v>
      </c>
      <c r="C933" s="1" t="str">
        <f>HYPERLINK("http://продеталь.рф/search.html?article=PCR30007BL","PCR30007BL")</f>
        <v>PCR30007BL</v>
      </c>
      <c r="D933" t="s">
        <v>6</v>
      </c>
    </row>
    <row r="934" spans="1:4" outlineLevel="1" x14ac:dyDescent="0.25">
      <c r="A934" t="s">
        <v>148</v>
      </c>
      <c r="B934" t="s">
        <v>3</v>
      </c>
      <c r="C934" s="1" t="str">
        <f>HYPERLINK("http://продеталь.рф/search.html?article=206024001A","206024001A")</f>
        <v>206024001A</v>
      </c>
      <c r="D934" t="s">
        <v>4</v>
      </c>
    </row>
    <row r="935" spans="1:4" outlineLevel="1" x14ac:dyDescent="0.25">
      <c r="A935" t="s">
        <v>148</v>
      </c>
      <c r="B935" t="s">
        <v>3</v>
      </c>
      <c r="C935" s="1" t="str">
        <f>HYPERLINK("http://продеталь.рф/search.html?article=206023001A","206023001A")</f>
        <v>206023001A</v>
      </c>
      <c r="D935" t="s">
        <v>4</v>
      </c>
    </row>
    <row r="936" spans="1:4" outlineLevel="1" x14ac:dyDescent="0.25">
      <c r="A936" t="s">
        <v>148</v>
      </c>
      <c r="B936" t="s">
        <v>5</v>
      </c>
      <c r="C936" s="1" t="str">
        <f>HYPERLINK("http://продеталь.рф/search.html?article=CRP1016L2","CRP1016L2")</f>
        <v>CRP1016L2</v>
      </c>
      <c r="D936" t="s">
        <v>9</v>
      </c>
    </row>
    <row r="937" spans="1:4" outlineLevel="1" x14ac:dyDescent="0.25">
      <c r="A937" t="s">
        <v>148</v>
      </c>
      <c r="B937" t="s">
        <v>5</v>
      </c>
      <c r="C937" s="1" t="str">
        <f>HYPERLINK("http://продеталь.рф/search.html?article=CRP1016L1","CRP1016L1")</f>
        <v>CRP1016L1</v>
      </c>
      <c r="D937" t="s">
        <v>9</v>
      </c>
    </row>
    <row r="938" spans="1:4" outlineLevel="1" x14ac:dyDescent="0.25">
      <c r="A938" t="s">
        <v>148</v>
      </c>
      <c r="B938" t="s">
        <v>8</v>
      </c>
      <c r="C938" s="1" t="str">
        <f>HYPERLINK("http://продеталь.рф/search.html?article=606CR2012","606CR2012")</f>
        <v>606CR2012</v>
      </c>
      <c r="D938" t="s">
        <v>4</v>
      </c>
    </row>
    <row r="939" spans="1:4" outlineLevel="1" x14ac:dyDescent="0.25">
      <c r="A939" t="s">
        <v>148</v>
      </c>
      <c r="B939" t="s">
        <v>30</v>
      </c>
      <c r="C939" s="1" t="str">
        <f>HYPERLINK("http://продеталь.рф/search.html?article=CR99005CAL","CR99005CAL")</f>
        <v>CR99005CAL</v>
      </c>
      <c r="D939" t="s">
        <v>2</v>
      </c>
    </row>
    <row r="940" spans="1:4" outlineLevel="1" x14ac:dyDescent="0.25">
      <c r="A940" t="s">
        <v>148</v>
      </c>
      <c r="B940" t="s">
        <v>40</v>
      </c>
      <c r="C940" s="1" t="str">
        <f>HYPERLINK("http://продеталь.рф/search.html?article=CR99029GA","CR99029GA")</f>
        <v>CR99029GA</v>
      </c>
      <c r="D940" t="s">
        <v>2</v>
      </c>
    </row>
    <row r="941" spans="1:4" outlineLevel="1" x14ac:dyDescent="0.25">
      <c r="A941" t="s">
        <v>148</v>
      </c>
      <c r="B941" t="s">
        <v>12</v>
      </c>
      <c r="C941" s="1" t="str">
        <f>HYPERLINK("http://продеталь.рф/search.html?article=CR07028GA","CR07028GA")</f>
        <v>CR07028GA</v>
      </c>
      <c r="D941" t="s">
        <v>2</v>
      </c>
    </row>
    <row r="942" spans="1:4" outlineLevel="1" x14ac:dyDescent="0.25">
      <c r="A942" t="s">
        <v>148</v>
      </c>
      <c r="B942" t="s">
        <v>150</v>
      </c>
      <c r="C942" s="1" t="str">
        <f>HYPERLINK("http://продеталь.рф/search.html?article=CR61001100000","CR61001100000")</f>
        <v>CR61001100000</v>
      </c>
      <c r="D942" t="s">
        <v>9</v>
      </c>
    </row>
    <row r="943" spans="1:4" outlineLevel="1" x14ac:dyDescent="0.25">
      <c r="A943" t="s">
        <v>148</v>
      </c>
      <c r="B943" t="s">
        <v>13</v>
      </c>
      <c r="C943" s="1" t="str">
        <f>HYPERLINK("http://продеталь.рф/search.html?article=CR610000R0000","CR610000R0000")</f>
        <v>CR610000R0000</v>
      </c>
      <c r="D943" t="s">
        <v>9</v>
      </c>
    </row>
    <row r="944" spans="1:4" x14ac:dyDescent="0.25">
      <c r="A944" t="s">
        <v>151</v>
      </c>
      <c r="B944" s="2" t="s">
        <v>151</v>
      </c>
      <c r="C944" s="2"/>
      <c r="D944" s="2"/>
    </row>
    <row r="945" spans="1:4" outlineLevel="1" x14ac:dyDescent="0.25">
      <c r="A945" t="s">
        <v>151</v>
      </c>
      <c r="B945" t="s">
        <v>11</v>
      </c>
      <c r="C945" s="1" t="str">
        <f>HYPERLINK("http://продеталь.рф/search.html?article=CR04035BC","CR04035BC")</f>
        <v>CR04035BC</v>
      </c>
      <c r="D945" t="s">
        <v>2</v>
      </c>
    </row>
    <row r="946" spans="1:4" outlineLevel="1" x14ac:dyDescent="0.25">
      <c r="A946" t="s">
        <v>151</v>
      </c>
      <c r="B946" t="s">
        <v>11</v>
      </c>
      <c r="C946" s="1" t="str">
        <f>HYPERLINK("http://продеталь.рф/search.html?article=DG04035BA","DG04035BA")</f>
        <v>DG04035BA</v>
      </c>
      <c r="D946" t="s">
        <v>99</v>
      </c>
    </row>
    <row r="947" spans="1:4" outlineLevel="1" x14ac:dyDescent="0.25">
      <c r="A947" t="s">
        <v>151</v>
      </c>
      <c r="B947" t="s">
        <v>11</v>
      </c>
      <c r="C947" s="1" t="str">
        <f>HYPERLINK("http://продеталь.рф/search.html?article=CR04021BB","CR04021BB")</f>
        <v>CR04021BB</v>
      </c>
      <c r="D947" t="s">
        <v>2</v>
      </c>
    </row>
    <row r="948" spans="1:4" outlineLevel="1" x14ac:dyDescent="0.25">
      <c r="A948" t="s">
        <v>151</v>
      </c>
      <c r="B948" t="s">
        <v>1</v>
      </c>
      <c r="C948" s="1" t="str">
        <f>HYPERLINK("http://продеталь.рф/search.html?article=DG20040A","DG20040A")</f>
        <v>DG20040A</v>
      </c>
      <c r="D948" t="s">
        <v>2</v>
      </c>
    </row>
    <row r="949" spans="1:4" outlineLevel="1" x14ac:dyDescent="0.25">
      <c r="A949" t="s">
        <v>151</v>
      </c>
      <c r="B949" t="s">
        <v>1</v>
      </c>
      <c r="C949" s="1" t="str">
        <f>HYPERLINK("http://продеталь.рф/search.html?article=PCR20016A","PCR20016A")</f>
        <v>PCR20016A</v>
      </c>
      <c r="D949" t="s">
        <v>6</v>
      </c>
    </row>
    <row r="950" spans="1:4" outlineLevel="1" x14ac:dyDescent="0.25">
      <c r="A950" t="s">
        <v>151</v>
      </c>
      <c r="B950" t="s">
        <v>24</v>
      </c>
      <c r="C950" s="1" t="str">
        <f>HYPERLINK("http://продеталь.рф/search.html?article=CR470161","CR470161")</f>
        <v>CR470161</v>
      </c>
      <c r="D950" t="s">
        <v>9</v>
      </c>
    </row>
    <row r="951" spans="1:4" outlineLevel="1" x14ac:dyDescent="0.25">
      <c r="A951" t="s">
        <v>151</v>
      </c>
      <c r="B951" t="s">
        <v>24</v>
      </c>
      <c r="C951" s="1" t="str">
        <f>HYPERLINK("http://продеталь.рф/search.html?article=CR470162","CR470162")</f>
        <v>CR470162</v>
      </c>
      <c r="D951" t="s">
        <v>9</v>
      </c>
    </row>
    <row r="952" spans="1:4" outlineLevel="1" x14ac:dyDescent="0.25">
      <c r="A952" t="s">
        <v>151</v>
      </c>
      <c r="B952" t="s">
        <v>27</v>
      </c>
      <c r="C952" s="1" t="str">
        <f>HYPERLINK("http://продеталь.рф/search.html?article=CR47009U0","CR47009U0")</f>
        <v>CR47009U0</v>
      </c>
      <c r="D952" t="s">
        <v>9</v>
      </c>
    </row>
    <row r="953" spans="1:4" outlineLevel="1" x14ac:dyDescent="0.25">
      <c r="A953" t="s">
        <v>151</v>
      </c>
      <c r="B953" t="s">
        <v>27</v>
      </c>
      <c r="C953" s="1" t="str">
        <f>HYPERLINK("http://продеталь.рф/search.html?article=PCR30035AW","PCR30035AW")</f>
        <v>PCR30035AW</v>
      </c>
      <c r="D953" t="s">
        <v>6</v>
      </c>
    </row>
    <row r="954" spans="1:4" outlineLevel="1" x14ac:dyDescent="0.25">
      <c r="A954" t="s">
        <v>151</v>
      </c>
      <c r="B954" t="s">
        <v>3</v>
      </c>
      <c r="C954" s="1" t="str">
        <f>HYPERLINK("http://продеталь.рф/search.html?article=20654000","20654000")</f>
        <v>20654000</v>
      </c>
      <c r="D954" t="s">
        <v>4</v>
      </c>
    </row>
    <row r="955" spans="1:4" outlineLevel="1" x14ac:dyDescent="0.25">
      <c r="A955" t="s">
        <v>151</v>
      </c>
      <c r="B955" t="s">
        <v>3</v>
      </c>
      <c r="C955" s="1" t="str">
        <f>HYPERLINK("http://продеталь.рф/search.html?article=206041051A","206041051A")</f>
        <v>206041051A</v>
      </c>
      <c r="D955" t="s">
        <v>4</v>
      </c>
    </row>
    <row r="956" spans="1:4" outlineLevel="1" x14ac:dyDescent="0.25">
      <c r="A956" t="s">
        <v>151</v>
      </c>
      <c r="B956" t="s">
        <v>3</v>
      </c>
      <c r="C956" s="1" t="str">
        <f>HYPERLINK("http://продеталь.рф/search.html?article=206042051A","206042051A")</f>
        <v>206042051A</v>
      </c>
      <c r="D956" t="s">
        <v>4</v>
      </c>
    </row>
    <row r="957" spans="1:4" outlineLevel="1" x14ac:dyDescent="0.25">
      <c r="A957" t="s">
        <v>151</v>
      </c>
      <c r="B957" t="s">
        <v>5</v>
      </c>
      <c r="C957" s="1" t="str">
        <f>HYPERLINK("http://продеталь.рф/search.html?article=DG630016L0R00","DG630016L0R00")</f>
        <v>DG630016L0R00</v>
      </c>
      <c r="D957" t="s">
        <v>9</v>
      </c>
    </row>
    <row r="958" spans="1:4" outlineLevel="1" x14ac:dyDescent="0.25">
      <c r="A958" t="s">
        <v>151</v>
      </c>
      <c r="B958" t="s">
        <v>13</v>
      </c>
      <c r="C958" s="1" t="str">
        <f>HYPERLINK("http://продеталь.рф/search.html?article=DG44082A","DG44082A")</f>
        <v>DG44082A</v>
      </c>
      <c r="D958" t="s">
        <v>2</v>
      </c>
    </row>
    <row r="959" spans="1:4" x14ac:dyDescent="0.25">
      <c r="A959" t="s">
        <v>152</v>
      </c>
      <c r="B959" s="2" t="s">
        <v>152</v>
      </c>
      <c r="C959" s="2"/>
      <c r="D959" s="2"/>
    </row>
    <row r="960" spans="1:4" outlineLevel="1" x14ac:dyDescent="0.25">
      <c r="A960" t="s">
        <v>152</v>
      </c>
      <c r="B960" t="s">
        <v>11</v>
      </c>
      <c r="C960" s="1" t="str">
        <f>HYPERLINK("http://продеталь.рф/search.html?article=CR47100000000","CR47100000000")</f>
        <v>CR47100000000</v>
      </c>
      <c r="D960" t="s">
        <v>9</v>
      </c>
    </row>
    <row r="961" spans="1:4" outlineLevel="1" x14ac:dyDescent="0.25">
      <c r="A961" t="s">
        <v>152</v>
      </c>
      <c r="B961" t="s">
        <v>1</v>
      </c>
      <c r="C961" s="1" t="str">
        <f>HYPERLINK("http://продеталь.рф/search.html?article=CR47101500100","CR47101500100")</f>
        <v>CR47101500100</v>
      </c>
      <c r="D961" t="s">
        <v>9</v>
      </c>
    </row>
    <row r="962" spans="1:4" outlineLevel="1" x14ac:dyDescent="0.25">
      <c r="A962" t="s">
        <v>152</v>
      </c>
      <c r="B962" t="s">
        <v>24</v>
      </c>
      <c r="C962" s="1" t="str">
        <f>HYPERLINK("http://продеталь.рф/search.html?article=PCR10014AL","PCR10014AL")</f>
        <v>PCR10014AL</v>
      </c>
      <c r="D962" t="s">
        <v>6</v>
      </c>
    </row>
    <row r="963" spans="1:4" outlineLevel="1" x14ac:dyDescent="0.25">
      <c r="A963" t="s">
        <v>152</v>
      </c>
      <c r="B963" t="s">
        <v>24</v>
      </c>
      <c r="C963" s="1" t="str">
        <f>HYPERLINK("http://продеталь.рф/search.html?article=PCR10014AR","PCR10014AR")</f>
        <v>PCR10014AR</v>
      </c>
      <c r="D963" t="s">
        <v>6</v>
      </c>
    </row>
    <row r="964" spans="1:4" outlineLevel="1" x14ac:dyDescent="0.25">
      <c r="A964" t="s">
        <v>152</v>
      </c>
      <c r="B964" t="s">
        <v>66</v>
      </c>
      <c r="C964" s="1" t="str">
        <f>HYPERLINK("http://продеталь.рф/search.html?article=BK057","BK057")</f>
        <v>BK057</v>
      </c>
      <c r="D964" t="s">
        <v>6</v>
      </c>
    </row>
    <row r="965" spans="1:4" outlineLevel="1" x14ac:dyDescent="0.25">
      <c r="A965" t="s">
        <v>152</v>
      </c>
      <c r="B965" t="s">
        <v>3</v>
      </c>
      <c r="C965" s="1" t="str">
        <f>HYPERLINK("http://продеталь.рф/search.html?article=206839001A","206839001A")</f>
        <v>206839001A</v>
      </c>
      <c r="D965" t="s">
        <v>4</v>
      </c>
    </row>
    <row r="966" spans="1:4" outlineLevel="1" x14ac:dyDescent="0.25">
      <c r="A966" t="s">
        <v>152</v>
      </c>
      <c r="B966" t="s">
        <v>5</v>
      </c>
      <c r="C966" s="1" t="str">
        <f>HYPERLINK("http://продеталь.рф/search.html?article=PCR11045AL","PCR11045AL")</f>
        <v>PCR11045AL</v>
      </c>
      <c r="D966" t="s">
        <v>6</v>
      </c>
    </row>
    <row r="967" spans="1:4" outlineLevel="1" x14ac:dyDescent="0.25">
      <c r="A967" t="s">
        <v>152</v>
      </c>
      <c r="B967" t="s">
        <v>5</v>
      </c>
      <c r="C967" s="1" t="str">
        <f>HYPERLINK("http://продеталь.рф/search.html?article=PCR11045AR","PCR11045AR")</f>
        <v>PCR11045AR</v>
      </c>
      <c r="D967" t="s">
        <v>6</v>
      </c>
    </row>
    <row r="968" spans="1:4" x14ac:dyDescent="0.25">
      <c r="A968" t="s">
        <v>153</v>
      </c>
      <c r="B968" s="2" t="s">
        <v>153</v>
      </c>
      <c r="C968" s="2"/>
      <c r="D968" s="2"/>
    </row>
    <row r="969" spans="1:4" outlineLevel="1" x14ac:dyDescent="0.25">
      <c r="A969" t="s">
        <v>153</v>
      </c>
      <c r="B969" t="s">
        <v>11</v>
      </c>
      <c r="C969" s="1" t="str">
        <f>HYPERLINK("http://продеталь.рф/search.html?article=DG620000","DG620000")</f>
        <v>DG620000</v>
      </c>
      <c r="D969" t="s">
        <v>9</v>
      </c>
    </row>
    <row r="970" spans="1:4" outlineLevel="1" x14ac:dyDescent="0.25">
      <c r="A970" t="s">
        <v>153</v>
      </c>
      <c r="B970" t="s">
        <v>1</v>
      </c>
      <c r="C970" s="1" t="str">
        <f>HYPERLINK("http://продеталь.рф/search.html?article=DG620150","DG620150")</f>
        <v>DG620150</v>
      </c>
      <c r="D970" t="s">
        <v>9</v>
      </c>
    </row>
    <row r="971" spans="1:4" outlineLevel="1" x14ac:dyDescent="0.25">
      <c r="A971" t="s">
        <v>153</v>
      </c>
      <c r="B971" t="s">
        <v>24</v>
      </c>
      <c r="C971" s="1" t="str">
        <f>HYPERLINK("http://продеталь.рф/search.html?article=DG620161","DG620161")</f>
        <v>DG620161</v>
      </c>
      <c r="D971" t="s">
        <v>9</v>
      </c>
    </row>
    <row r="972" spans="1:4" outlineLevel="1" x14ac:dyDescent="0.25">
      <c r="A972" t="s">
        <v>153</v>
      </c>
      <c r="B972" t="s">
        <v>3</v>
      </c>
      <c r="C972" s="1" t="str">
        <f>HYPERLINK("http://продеталь.рф/search.html?article=205400001A","205400001A")</f>
        <v>205400001A</v>
      </c>
      <c r="D972" t="s">
        <v>4</v>
      </c>
    </row>
    <row r="973" spans="1:4" outlineLevel="1" x14ac:dyDescent="0.25">
      <c r="A973" t="s">
        <v>153</v>
      </c>
      <c r="B973" t="s">
        <v>3</v>
      </c>
      <c r="C973" s="1" t="str">
        <f>HYPERLINK("http://продеталь.рф/search.html?article=205399001A","205399001A")</f>
        <v>205399001A</v>
      </c>
      <c r="D973" t="s">
        <v>4</v>
      </c>
    </row>
    <row r="974" spans="1:4" outlineLevel="1" x14ac:dyDescent="0.25">
      <c r="A974" t="s">
        <v>153</v>
      </c>
      <c r="B974" t="s">
        <v>154</v>
      </c>
      <c r="C974" s="1" t="str">
        <f>HYPERLINK("http://продеталь.рф/search.html?article=205400081A","205400081A")</f>
        <v>205400081A</v>
      </c>
      <c r="D974" t="s">
        <v>4</v>
      </c>
    </row>
    <row r="975" spans="1:4" outlineLevel="1" x14ac:dyDescent="0.25">
      <c r="A975" t="s">
        <v>153</v>
      </c>
      <c r="B975" t="s">
        <v>155</v>
      </c>
      <c r="C975" s="1" t="str">
        <f>HYPERLINK("http://продеталь.рф/search.html?article=205399081A","205399081A")</f>
        <v>205399081A</v>
      </c>
      <c r="D975" t="s">
        <v>4</v>
      </c>
    </row>
    <row r="976" spans="1:4" x14ac:dyDescent="0.25">
      <c r="A976" t="s">
        <v>156</v>
      </c>
      <c r="B976" s="2" t="s">
        <v>156</v>
      </c>
      <c r="C976" s="2"/>
      <c r="D976" s="2"/>
    </row>
    <row r="977" spans="1:4" outlineLevel="1" x14ac:dyDescent="0.25">
      <c r="A977" t="s">
        <v>156</v>
      </c>
      <c r="B977" t="s">
        <v>3</v>
      </c>
      <c r="C977" s="1" t="str">
        <f>HYPERLINK("http://продеталь.рф/search.html?article=201961011A","201961011A")</f>
        <v>201961011A</v>
      </c>
      <c r="D977" t="s">
        <v>4</v>
      </c>
    </row>
    <row r="978" spans="1:4" outlineLevel="1" x14ac:dyDescent="0.25">
      <c r="A978" t="s">
        <v>156</v>
      </c>
      <c r="B978" t="s">
        <v>3</v>
      </c>
      <c r="C978" s="1" t="str">
        <f>HYPERLINK("http://продеталь.рф/search.html?article=201960011A","201960011A")</f>
        <v>201960011A</v>
      </c>
      <c r="D978" t="s">
        <v>4</v>
      </c>
    </row>
    <row r="979" spans="1:4" outlineLevel="1" x14ac:dyDescent="0.25">
      <c r="A979" t="s">
        <v>156</v>
      </c>
      <c r="B979" t="s">
        <v>16</v>
      </c>
      <c r="C979" s="1" t="str">
        <f>HYPERLINK("http://продеталь.рф/search.html?article=121480251A","121480251A")</f>
        <v>121480251A</v>
      </c>
      <c r="D979" t="s">
        <v>4</v>
      </c>
    </row>
    <row r="980" spans="1:4" outlineLevel="1" x14ac:dyDescent="0.25">
      <c r="A980" t="s">
        <v>156</v>
      </c>
      <c r="B980" t="s">
        <v>16</v>
      </c>
      <c r="C980" s="1" t="str">
        <f>HYPERLINK("http://продеталь.рф/search.html?article=121479251A","121479251A")</f>
        <v>121479251A</v>
      </c>
      <c r="D980" t="s">
        <v>4</v>
      </c>
    </row>
    <row r="981" spans="1:4" x14ac:dyDescent="0.25">
      <c r="A981" t="s">
        <v>157</v>
      </c>
      <c r="B981" s="2" t="s">
        <v>157</v>
      </c>
      <c r="C981" s="2"/>
      <c r="D981" s="2"/>
    </row>
    <row r="982" spans="1:4" outlineLevel="1" x14ac:dyDescent="0.25">
      <c r="A982" t="s">
        <v>157</v>
      </c>
      <c r="B982" t="s">
        <v>23</v>
      </c>
      <c r="C982" s="1" t="str">
        <f>HYPERLINK("http://продеталь.рф/search.html?article=11306701","11306701")</f>
        <v>11306701</v>
      </c>
      <c r="D982" t="s">
        <v>4</v>
      </c>
    </row>
    <row r="983" spans="1:4" outlineLevel="1" x14ac:dyDescent="0.25">
      <c r="A983" t="s">
        <v>157</v>
      </c>
      <c r="B983" t="s">
        <v>1</v>
      </c>
      <c r="C983" s="1" t="str">
        <f>HYPERLINK("http://продеталь.рф/search.html?article=DG20034A","DG20034A")</f>
        <v>DG20034A</v>
      </c>
      <c r="D983" t="s">
        <v>2</v>
      </c>
    </row>
    <row r="984" spans="1:4" outlineLevel="1" x14ac:dyDescent="0.25">
      <c r="A984" t="s">
        <v>157</v>
      </c>
      <c r="B984" t="s">
        <v>24</v>
      </c>
      <c r="C984" s="1" t="str">
        <f>HYPERLINK("http://продеталь.рф/search.html?article=99340L","99340L")</f>
        <v>99340L</v>
      </c>
      <c r="D984" t="s">
        <v>36</v>
      </c>
    </row>
    <row r="985" spans="1:4" outlineLevel="1" x14ac:dyDescent="0.25">
      <c r="A985" t="s">
        <v>157</v>
      </c>
      <c r="B985" t="s">
        <v>66</v>
      </c>
      <c r="C985" s="1" t="str">
        <f>HYPERLINK("http://продеталь.рф/search.html?article=BK101","BK101")</f>
        <v>BK101</v>
      </c>
      <c r="D985" t="s">
        <v>6</v>
      </c>
    </row>
    <row r="986" spans="1:4" outlineLevel="1" x14ac:dyDescent="0.25">
      <c r="A986" t="s">
        <v>157</v>
      </c>
      <c r="B986" t="s">
        <v>3</v>
      </c>
      <c r="C986" s="1" t="str">
        <f>HYPERLINK("http://продеталь.рф/search.html?article=203164891A","203164891A")</f>
        <v>203164891A</v>
      </c>
      <c r="D986" t="s">
        <v>4</v>
      </c>
    </row>
    <row r="987" spans="1:4" outlineLevel="1" x14ac:dyDescent="0.25">
      <c r="A987" t="s">
        <v>157</v>
      </c>
      <c r="B987" t="s">
        <v>5</v>
      </c>
      <c r="C987" s="1" t="str">
        <f>HYPERLINK("http://продеталь.рф/search.html?article=DG11035AR","DG11035AR")</f>
        <v>DG11035AR</v>
      </c>
      <c r="D987" t="s">
        <v>99</v>
      </c>
    </row>
    <row r="988" spans="1:4" outlineLevel="1" x14ac:dyDescent="0.25">
      <c r="A988" t="s">
        <v>157</v>
      </c>
      <c r="B988" t="s">
        <v>12</v>
      </c>
      <c r="C988" s="1" t="str">
        <f>HYPERLINK("http://продеталь.рф/search.html?article=DG07035GA","DG07035GA")</f>
        <v>DG07035GA</v>
      </c>
      <c r="D988" t="s">
        <v>2</v>
      </c>
    </row>
    <row r="989" spans="1:4" outlineLevel="1" x14ac:dyDescent="0.25">
      <c r="A989" t="s">
        <v>157</v>
      </c>
      <c r="B989" t="s">
        <v>13</v>
      </c>
      <c r="C989" s="1" t="str">
        <f>HYPERLINK("http://продеталь.рф/search.html?article=PCR44086A","PCR44086A")</f>
        <v>PCR44086A</v>
      </c>
      <c r="D989" t="s">
        <v>6</v>
      </c>
    </row>
    <row r="990" spans="1:4" x14ac:dyDescent="0.25">
      <c r="A990" t="s">
        <v>158</v>
      </c>
      <c r="B990" s="2" t="s">
        <v>158</v>
      </c>
      <c r="C990" s="2"/>
      <c r="D990" s="2"/>
    </row>
    <row r="991" spans="1:4" outlineLevel="1" x14ac:dyDescent="0.25">
      <c r="A991" t="s">
        <v>158</v>
      </c>
      <c r="B991" t="s">
        <v>11</v>
      </c>
      <c r="C991" s="1" t="str">
        <f>HYPERLINK("http://продеталь.рф/search.html?article=CR73000G0","CR73000G0")</f>
        <v>CR73000G0</v>
      </c>
      <c r="D991" t="s">
        <v>9</v>
      </c>
    </row>
    <row r="992" spans="1:4" outlineLevel="1" x14ac:dyDescent="0.25">
      <c r="A992" t="s">
        <v>158</v>
      </c>
      <c r="B992" t="s">
        <v>11</v>
      </c>
      <c r="C992" s="1" t="str">
        <f>HYPERLINK("http://продеталь.рф/search.html?article=CR73000F0","CR73000F0")</f>
        <v>CR73000F0</v>
      </c>
      <c r="D992" t="s">
        <v>9</v>
      </c>
    </row>
    <row r="993" spans="1:4" outlineLevel="1" x14ac:dyDescent="0.25">
      <c r="A993" t="s">
        <v>158</v>
      </c>
      <c r="B993" t="s">
        <v>11</v>
      </c>
      <c r="C993" s="1" t="str">
        <f>HYPERLINK("http://продеталь.рф/search.html?article=CR04036BA","CR04036BA")</f>
        <v>CR04036BA</v>
      </c>
      <c r="D993" t="s">
        <v>2</v>
      </c>
    </row>
    <row r="994" spans="1:4" outlineLevel="1" x14ac:dyDescent="0.25">
      <c r="A994" t="s">
        <v>158</v>
      </c>
      <c r="B994" t="s">
        <v>11</v>
      </c>
      <c r="C994" s="1" t="str">
        <f>HYPERLINK("http://продеталь.рф/search.html?article=CR04054BB","CR04054BB")</f>
        <v>CR04054BB</v>
      </c>
      <c r="D994" t="s">
        <v>2</v>
      </c>
    </row>
    <row r="995" spans="1:4" outlineLevel="1" x14ac:dyDescent="0.25">
      <c r="A995" t="s">
        <v>158</v>
      </c>
      <c r="B995" t="s">
        <v>15</v>
      </c>
      <c r="C995" s="1" t="str">
        <f>HYPERLINK("http://продеталь.рф/search.html?article=3500142","3500142")</f>
        <v>3500142</v>
      </c>
      <c r="D995" t="s">
        <v>4</v>
      </c>
    </row>
    <row r="996" spans="1:4" outlineLevel="1" x14ac:dyDescent="0.25">
      <c r="A996" t="s">
        <v>158</v>
      </c>
      <c r="B996" t="s">
        <v>15</v>
      </c>
      <c r="C996" s="1" t="str">
        <f>HYPERLINK("http://продеталь.рф/search.html?article=DG73094100L00","DG73094100L00")</f>
        <v>DG73094100L00</v>
      </c>
      <c r="D996" t="s">
        <v>9</v>
      </c>
    </row>
    <row r="997" spans="1:4" outlineLevel="1" x14ac:dyDescent="0.25">
      <c r="A997" t="s">
        <v>158</v>
      </c>
      <c r="B997" t="s">
        <v>15</v>
      </c>
      <c r="C997" s="1" t="str">
        <f>HYPERLINK("http://продеталь.рф/search.html?article=DG73094100R00","DG73094100R00")</f>
        <v>DG73094100R00</v>
      </c>
      <c r="D997" t="s">
        <v>9</v>
      </c>
    </row>
    <row r="998" spans="1:4" outlineLevel="1" x14ac:dyDescent="0.25">
      <c r="A998" t="s">
        <v>158</v>
      </c>
      <c r="B998" t="s">
        <v>159</v>
      </c>
      <c r="C998" s="1" t="str">
        <f>HYPERLINK("http://продеталь.рф/search.html?article=DG730041","DG730041")</f>
        <v>DG730041</v>
      </c>
      <c r="D998" t="s">
        <v>9</v>
      </c>
    </row>
    <row r="999" spans="1:4" outlineLevel="1" x14ac:dyDescent="0.25">
      <c r="A999" t="s">
        <v>158</v>
      </c>
      <c r="B999" t="s">
        <v>79</v>
      </c>
      <c r="C999" s="1" t="str">
        <f>HYPERLINK("http://продеталь.рф/search.html?article=DG730042","DG730042")</f>
        <v>DG730042</v>
      </c>
      <c r="D999" t="s">
        <v>9</v>
      </c>
    </row>
    <row r="1000" spans="1:4" outlineLevel="1" x14ac:dyDescent="0.25">
      <c r="A1000" t="s">
        <v>158</v>
      </c>
      <c r="B1000" t="s">
        <v>23</v>
      </c>
      <c r="C1000" s="1" t="str">
        <f>HYPERLINK("http://продеталь.рф/search.html?article=115478011A","115478011A")</f>
        <v>115478011A</v>
      </c>
      <c r="D1000" t="s">
        <v>4</v>
      </c>
    </row>
    <row r="1001" spans="1:4" outlineLevel="1" x14ac:dyDescent="0.25">
      <c r="A1001" t="s">
        <v>158</v>
      </c>
      <c r="B1001" t="s">
        <v>160</v>
      </c>
      <c r="C1001" s="1" t="str">
        <f>HYPERLINK("http://продеталь.рф/search.html?article=PCR33300A","PCR33300A")</f>
        <v>PCR33300A</v>
      </c>
      <c r="D1001" t="s">
        <v>6</v>
      </c>
    </row>
    <row r="1002" spans="1:4" outlineLevel="1" x14ac:dyDescent="0.25">
      <c r="A1002" t="s">
        <v>158</v>
      </c>
      <c r="B1002" t="s">
        <v>24</v>
      </c>
      <c r="C1002" s="1" t="str">
        <f>HYPERLINK("http://продеталь.рф/search.html?article=CR730162","CR730162")</f>
        <v>CR730162</v>
      </c>
      <c r="D1002" t="s">
        <v>9</v>
      </c>
    </row>
    <row r="1003" spans="1:4" outlineLevel="1" x14ac:dyDescent="0.25">
      <c r="A1003" t="s">
        <v>158</v>
      </c>
      <c r="B1003" t="s">
        <v>66</v>
      </c>
      <c r="C1003" s="1" t="str">
        <f>HYPERLINK("http://продеталь.рф/search.html?article=BK030","BK030")</f>
        <v>BK030</v>
      </c>
      <c r="D1003" t="s">
        <v>6</v>
      </c>
    </row>
    <row r="1004" spans="1:4" outlineLevel="1" x14ac:dyDescent="0.25">
      <c r="A1004" t="s">
        <v>158</v>
      </c>
      <c r="B1004" t="s">
        <v>27</v>
      </c>
      <c r="C1004" s="1" t="str">
        <f>HYPERLINK("http://продеталь.рф/search.html?article=DG30036AR","DG30036AR")</f>
        <v>DG30036AR</v>
      </c>
      <c r="D1004" t="s">
        <v>2</v>
      </c>
    </row>
    <row r="1005" spans="1:4" outlineLevel="1" x14ac:dyDescent="0.25">
      <c r="A1005" t="s">
        <v>158</v>
      </c>
      <c r="B1005" t="s">
        <v>27</v>
      </c>
      <c r="C1005" s="1" t="str">
        <f>HYPERLINK("http://продеталь.рф/search.html?article=DG73009U0","DG73009U0")</f>
        <v>DG73009U0</v>
      </c>
      <c r="D1005" t="s">
        <v>9</v>
      </c>
    </row>
    <row r="1006" spans="1:4" outlineLevel="1" x14ac:dyDescent="0.25">
      <c r="A1006" t="s">
        <v>158</v>
      </c>
      <c r="B1006" t="s">
        <v>5</v>
      </c>
      <c r="C1006" s="1" t="str">
        <f>HYPERLINK("http://продеталь.рф/search.html?article=CR73016L2","CR73016L2")</f>
        <v>CR73016L2</v>
      </c>
      <c r="D1006" t="s">
        <v>9</v>
      </c>
    </row>
    <row r="1007" spans="1:4" outlineLevel="1" x14ac:dyDescent="0.25">
      <c r="A1007" t="s">
        <v>158</v>
      </c>
      <c r="B1007" t="s">
        <v>5</v>
      </c>
      <c r="C1007" s="1" t="str">
        <f>HYPERLINK("http://продеталь.рф/search.html?article=CR73016L1","CR73016L1")</f>
        <v>CR73016L1</v>
      </c>
      <c r="D1007" t="s">
        <v>9</v>
      </c>
    </row>
    <row r="1008" spans="1:4" outlineLevel="1" x14ac:dyDescent="0.25">
      <c r="A1008" t="s">
        <v>158</v>
      </c>
      <c r="B1008" t="s">
        <v>28</v>
      </c>
      <c r="C1008" s="1" t="str">
        <f>HYPERLINK("http://продеталь.рф/search.html?article=RA60983A","RA60983A")</f>
        <v>RA60983A</v>
      </c>
      <c r="D1008" t="s">
        <v>6</v>
      </c>
    </row>
    <row r="1009" spans="1:4" outlineLevel="1" x14ac:dyDescent="0.25">
      <c r="A1009" t="s">
        <v>158</v>
      </c>
      <c r="B1009" t="s">
        <v>28</v>
      </c>
      <c r="C1009" s="1" t="str">
        <f>HYPERLINK("http://продеталь.рф/search.html?article=RA60987","RA60987")</f>
        <v>RA60987</v>
      </c>
      <c r="D1009" t="s">
        <v>6</v>
      </c>
    </row>
    <row r="1010" spans="1:4" outlineLevel="1" x14ac:dyDescent="0.25">
      <c r="A1010" t="s">
        <v>158</v>
      </c>
      <c r="B1010" t="s">
        <v>28</v>
      </c>
      <c r="C1010" s="1" t="str">
        <f>HYPERLINK("http://продеталь.рф/search.html?article=RA60990","RA60990")</f>
        <v>RA60990</v>
      </c>
      <c r="D1010" t="s">
        <v>6</v>
      </c>
    </row>
    <row r="1011" spans="1:4" outlineLevel="1" x14ac:dyDescent="0.25">
      <c r="A1011" t="s">
        <v>158</v>
      </c>
      <c r="B1011" t="s">
        <v>12</v>
      </c>
      <c r="C1011" s="1" t="str">
        <f>HYPERLINK("http://продеталь.рф/search.html?article=DG07045GA","DG07045GA")</f>
        <v>DG07045GA</v>
      </c>
      <c r="D1011" t="s">
        <v>99</v>
      </c>
    </row>
    <row r="1012" spans="1:4" outlineLevel="1" x14ac:dyDescent="0.25">
      <c r="A1012" t="s">
        <v>158</v>
      </c>
      <c r="B1012" t="s">
        <v>12</v>
      </c>
      <c r="C1012" s="1" t="str">
        <f>HYPERLINK("http://продеталь.рф/search.html?article=CR730930","CR730930")</f>
        <v>CR730930</v>
      </c>
      <c r="D1012" t="s">
        <v>9</v>
      </c>
    </row>
    <row r="1013" spans="1:4" outlineLevel="1" x14ac:dyDescent="0.25">
      <c r="A1013" t="s">
        <v>158</v>
      </c>
      <c r="B1013" t="s">
        <v>13</v>
      </c>
      <c r="C1013" s="1" t="str">
        <f>HYPERLINK("http://продеталь.рф/search.html?article=CR73000R0","CR73000R0")</f>
        <v>CR73000R0</v>
      </c>
      <c r="D1013" t="s">
        <v>9</v>
      </c>
    </row>
    <row r="1014" spans="1:4" x14ac:dyDescent="0.25">
      <c r="A1014" t="s">
        <v>161</v>
      </c>
      <c r="B1014" s="2" t="s">
        <v>161</v>
      </c>
      <c r="C1014" s="2"/>
      <c r="D1014" s="2"/>
    </row>
    <row r="1015" spans="1:4" outlineLevel="1" x14ac:dyDescent="0.25">
      <c r="A1015" t="s">
        <v>161</v>
      </c>
      <c r="B1015" t="s">
        <v>15</v>
      </c>
      <c r="C1015" s="1" t="str">
        <f>HYPERLINK("http://продеталь.рф/search.html?article=DGM1034BR","DGM1034BR")</f>
        <v>DGM1034BR</v>
      </c>
      <c r="D1015" t="s">
        <v>2</v>
      </c>
    </row>
    <row r="1016" spans="1:4" outlineLevel="1" x14ac:dyDescent="0.25">
      <c r="A1016" t="s">
        <v>161</v>
      </c>
      <c r="B1016" t="s">
        <v>1</v>
      </c>
      <c r="C1016" s="1" t="str">
        <f>HYPERLINK("http://продеталь.рф/search.html?article=DG20053B","DG20053B")</f>
        <v>DG20053B</v>
      </c>
      <c r="D1016" t="s">
        <v>2</v>
      </c>
    </row>
    <row r="1017" spans="1:4" outlineLevel="1" x14ac:dyDescent="0.25">
      <c r="A1017" t="s">
        <v>161</v>
      </c>
      <c r="B1017" t="s">
        <v>24</v>
      </c>
      <c r="C1017" s="1" t="str">
        <f>HYPERLINK("http://продеталь.рф/search.html?article=PCR10056AL","PCR10056AL")</f>
        <v>PCR10056AL</v>
      </c>
      <c r="D1017" t="s">
        <v>6</v>
      </c>
    </row>
    <row r="1018" spans="1:4" outlineLevel="1" x14ac:dyDescent="0.25">
      <c r="A1018" t="s">
        <v>161</v>
      </c>
      <c r="B1018" t="s">
        <v>27</v>
      </c>
      <c r="C1018" s="1" t="str">
        <f>HYPERLINK("http://продеталь.рф/search.html?article=DG03006A","DG03006A")</f>
        <v>DG03006A</v>
      </c>
      <c r="D1018" t="s">
        <v>2</v>
      </c>
    </row>
    <row r="1019" spans="1:4" outlineLevel="1" x14ac:dyDescent="0.25">
      <c r="A1019" t="s">
        <v>161</v>
      </c>
      <c r="B1019" t="s">
        <v>3</v>
      </c>
      <c r="C1019" s="1" t="str">
        <f>HYPERLINK("http://продеталь.рф/search.html?article=206908001A","206908001A")</f>
        <v>206908001A</v>
      </c>
      <c r="D1019" t="s">
        <v>4</v>
      </c>
    </row>
    <row r="1020" spans="1:4" outlineLevel="1" x14ac:dyDescent="0.25">
      <c r="A1020" t="s">
        <v>161</v>
      </c>
      <c r="B1020" t="s">
        <v>5</v>
      </c>
      <c r="C1020" s="1" t="str">
        <f>HYPERLINK("http://продеталь.рф/search.html?article=PCR11045BR","PCR11045BR")</f>
        <v>PCR11045BR</v>
      </c>
      <c r="D1020" t="s">
        <v>6</v>
      </c>
    </row>
    <row r="1021" spans="1:4" outlineLevel="1" x14ac:dyDescent="0.25">
      <c r="A1021" t="s">
        <v>161</v>
      </c>
      <c r="B1021" t="s">
        <v>55</v>
      </c>
      <c r="C1021" s="1" t="str">
        <f>HYPERLINK("http://продеталь.рф/search.html?article=DG07061MA","DG07061MA")</f>
        <v>DG07061MA</v>
      </c>
      <c r="D1021" t="s">
        <v>2</v>
      </c>
    </row>
    <row r="1022" spans="1:4" outlineLevel="1" x14ac:dyDescent="0.25">
      <c r="A1022" t="s">
        <v>161</v>
      </c>
      <c r="B1022" t="s">
        <v>30</v>
      </c>
      <c r="C1022" s="1" t="str">
        <f>HYPERLINK("http://продеталь.рф/search.html?article=BP0139L","BP0139L")</f>
        <v>BP0139L</v>
      </c>
      <c r="D1022" t="s">
        <v>36</v>
      </c>
    </row>
    <row r="1023" spans="1:4" outlineLevel="1" x14ac:dyDescent="0.25">
      <c r="A1023" t="s">
        <v>161</v>
      </c>
      <c r="B1023" t="s">
        <v>30</v>
      </c>
      <c r="C1023" s="1" t="str">
        <f>HYPERLINK("http://продеталь.рф/search.html?article=BP0139R","BP0139R")</f>
        <v>BP0139R</v>
      </c>
      <c r="D1023" t="s">
        <v>36</v>
      </c>
    </row>
    <row r="1024" spans="1:4" x14ac:dyDescent="0.25">
      <c r="A1024" t="s">
        <v>162</v>
      </c>
      <c r="B1024" s="2" t="s">
        <v>162</v>
      </c>
      <c r="C1024" s="2"/>
      <c r="D1024" s="2"/>
    </row>
    <row r="1025" spans="1:4" outlineLevel="1" x14ac:dyDescent="0.25">
      <c r="A1025" t="s">
        <v>162</v>
      </c>
      <c r="B1025" t="s">
        <v>11</v>
      </c>
      <c r="C1025" s="1" t="str">
        <f>HYPERLINK("http://продеталь.рф/search.html?article=26820","26820")</f>
        <v>26820</v>
      </c>
      <c r="D1025" t="s">
        <v>163</v>
      </c>
    </row>
    <row r="1026" spans="1:4" outlineLevel="1" x14ac:dyDescent="0.25">
      <c r="A1026" t="s">
        <v>162</v>
      </c>
      <c r="B1026" t="s">
        <v>15</v>
      </c>
      <c r="C1026" s="1" t="str">
        <f>HYPERLINK("http://продеталь.рф/search.html?article=3050006","3050006")</f>
        <v>3050006</v>
      </c>
      <c r="D1026" t="s">
        <v>4</v>
      </c>
    </row>
    <row r="1027" spans="1:4" outlineLevel="1" x14ac:dyDescent="0.25">
      <c r="A1027" t="s">
        <v>162</v>
      </c>
      <c r="B1027" t="s">
        <v>45</v>
      </c>
      <c r="C1027" s="1" t="str">
        <f>HYPERLINK("http://продеталь.рф/search.html?article=0550592","0550592")</f>
        <v>0550592</v>
      </c>
      <c r="D1027" t="s">
        <v>46</v>
      </c>
    </row>
    <row r="1028" spans="1:4" outlineLevel="1" x14ac:dyDescent="0.25">
      <c r="A1028" t="s">
        <v>162</v>
      </c>
      <c r="B1028" t="s">
        <v>45</v>
      </c>
      <c r="C1028" s="1" t="str">
        <f>HYPERLINK("http://продеталь.рф/search.html?article=0550591","0550591")</f>
        <v>0550591</v>
      </c>
      <c r="D1028" t="s">
        <v>46</v>
      </c>
    </row>
    <row r="1029" spans="1:4" outlineLevel="1" x14ac:dyDescent="0.25">
      <c r="A1029" t="s">
        <v>162</v>
      </c>
      <c r="B1029" t="s">
        <v>1</v>
      </c>
      <c r="C1029" s="1" t="str">
        <f>HYPERLINK("http://продеталь.рф/search.html?article=120512","120512")</f>
        <v>120512</v>
      </c>
      <c r="D1029" t="s">
        <v>164</v>
      </c>
    </row>
    <row r="1030" spans="1:4" outlineLevel="1" x14ac:dyDescent="0.25">
      <c r="A1030" t="s">
        <v>162</v>
      </c>
      <c r="B1030" t="s">
        <v>50</v>
      </c>
      <c r="C1030" s="1" t="str">
        <f>HYPERLINK("http://продеталь.рф/search.html?article=PG07020HAL","PG07020HAL")</f>
        <v>PG07020HAL</v>
      </c>
      <c r="D1030" t="s">
        <v>2</v>
      </c>
    </row>
    <row r="1031" spans="1:4" outlineLevel="1" x14ac:dyDescent="0.25">
      <c r="A1031" t="s">
        <v>162</v>
      </c>
      <c r="B1031" t="s">
        <v>5</v>
      </c>
      <c r="C1031" s="1" t="str">
        <f>HYPERLINK("http://продеталь.рф/search.html?article=211521","211521")</f>
        <v>211521</v>
      </c>
      <c r="D1031" t="s">
        <v>21</v>
      </c>
    </row>
    <row r="1032" spans="1:4" outlineLevel="1" x14ac:dyDescent="0.25">
      <c r="A1032" t="s">
        <v>162</v>
      </c>
      <c r="B1032" t="s">
        <v>5</v>
      </c>
      <c r="C1032" s="1" t="str">
        <f>HYPERLINK("http://продеталь.рф/search.html?article=211522","211522")</f>
        <v>211522</v>
      </c>
      <c r="D1032" t="s">
        <v>21</v>
      </c>
    </row>
    <row r="1033" spans="1:4" outlineLevel="1" x14ac:dyDescent="0.25">
      <c r="A1033" t="s">
        <v>162</v>
      </c>
      <c r="B1033" t="s">
        <v>12</v>
      </c>
      <c r="C1033" s="1" t="str">
        <f>HYPERLINK("http://продеталь.рф/search.html?article=052517","052517")</f>
        <v>052517</v>
      </c>
      <c r="D1033" t="s">
        <v>165</v>
      </c>
    </row>
    <row r="1034" spans="1:4" outlineLevel="1" x14ac:dyDescent="0.25">
      <c r="A1034" t="s">
        <v>162</v>
      </c>
      <c r="B1034" t="s">
        <v>12</v>
      </c>
      <c r="C1034" s="1" t="str">
        <f>HYPERLINK("http://продеталь.рф/search.html?article=PG810930","PG810930")</f>
        <v>PG810930</v>
      </c>
      <c r="D1034" t="s">
        <v>9</v>
      </c>
    </row>
    <row r="1035" spans="1:4" outlineLevel="1" x14ac:dyDescent="0.25">
      <c r="A1035" t="s">
        <v>162</v>
      </c>
      <c r="B1035" t="s">
        <v>32</v>
      </c>
      <c r="C1035" s="1" t="str">
        <f>HYPERLINK("http://продеталь.рф/search.html?article=388PGG072","388PGG072")</f>
        <v>388PGG072</v>
      </c>
      <c r="D1035" t="s">
        <v>4</v>
      </c>
    </row>
    <row r="1036" spans="1:4" outlineLevel="1" x14ac:dyDescent="0.25">
      <c r="A1036" t="s">
        <v>162</v>
      </c>
      <c r="B1036" t="s">
        <v>32</v>
      </c>
      <c r="C1036" s="1" t="str">
        <f>HYPERLINK("http://продеталь.рф/search.html?article=388PGG071","388PGG071")</f>
        <v>388PGG071</v>
      </c>
      <c r="D1036" t="s">
        <v>4</v>
      </c>
    </row>
    <row r="1037" spans="1:4" outlineLevel="1" x14ac:dyDescent="0.25">
      <c r="A1037" t="s">
        <v>162</v>
      </c>
      <c r="B1037" t="s">
        <v>16</v>
      </c>
      <c r="C1037" s="1" t="str">
        <f>HYPERLINK("http://продеталь.рф/search.html?article=185514052","185514052")</f>
        <v>185514052</v>
      </c>
      <c r="D1037" t="s">
        <v>4</v>
      </c>
    </row>
    <row r="1038" spans="1:4" outlineLevel="1" x14ac:dyDescent="0.25">
      <c r="A1038" t="s">
        <v>162</v>
      </c>
      <c r="B1038" t="s">
        <v>16</v>
      </c>
      <c r="C1038" s="1" t="str">
        <f>HYPERLINK("http://продеталь.рф/search.html?article=185513052","185513052")</f>
        <v>185513052</v>
      </c>
      <c r="D1038" t="s">
        <v>4</v>
      </c>
    </row>
    <row r="1039" spans="1:4" outlineLevel="1" x14ac:dyDescent="0.25">
      <c r="A1039" t="s">
        <v>162</v>
      </c>
      <c r="B1039" t="s">
        <v>75</v>
      </c>
      <c r="C1039" s="1" t="str">
        <f>HYPERLINK("http://продеталь.рф/search.html?article=185161252","185161252")</f>
        <v>185161252</v>
      </c>
      <c r="D1039" t="s">
        <v>4</v>
      </c>
    </row>
    <row r="1040" spans="1:4" outlineLevel="1" x14ac:dyDescent="0.25">
      <c r="A1040" t="s">
        <v>162</v>
      </c>
      <c r="B1040" t="s">
        <v>75</v>
      </c>
      <c r="C1040" s="1" t="str">
        <f>HYPERLINK("http://продеталь.рф/search.html?article=185161052","185161052")</f>
        <v>185161052</v>
      </c>
      <c r="D1040" t="s">
        <v>4</v>
      </c>
    </row>
    <row r="1041" spans="1:4" outlineLevel="1" x14ac:dyDescent="0.25">
      <c r="A1041" t="s">
        <v>162</v>
      </c>
      <c r="B1041" t="s">
        <v>75</v>
      </c>
      <c r="C1041" s="1" t="str">
        <f>HYPERLINK("http://продеталь.рф/search.html?article=185161152","185161152")</f>
        <v>185161152</v>
      </c>
      <c r="D1041" t="s">
        <v>4</v>
      </c>
    </row>
    <row r="1042" spans="1:4" x14ac:dyDescent="0.25">
      <c r="A1042" t="s">
        <v>166</v>
      </c>
      <c r="B1042" s="2" t="s">
        <v>166</v>
      </c>
      <c r="C1042" s="2"/>
      <c r="D1042" s="2"/>
    </row>
    <row r="1043" spans="1:4" outlineLevel="1" x14ac:dyDescent="0.25">
      <c r="A1043" t="s">
        <v>166</v>
      </c>
      <c r="B1043" t="s">
        <v>11</v>
      </c>
      <c r="C1043" s="1" t="str">
        <f>HYPERLINK("http://продеталь.рф/search.html?article=BR23","BR23")</f>
        <v>BR23</v>
      </c>
      <c r="D1043" t="s">
        <v>18</v>
      </c>
    </row>
    <row r="1044" spans="1:4" outlineLevel="1" x14ac:dyDescent="0.25">
      <c r="A1044" t="s">
        <v>166</v>
      </c>
      <c r="B1044" t="s">
        <v>23</v>
      </c>
      <c r="C1044" s="1" t="str">
        <f>HYPERLINK("http://продеталь.рф/search.html?article=11B356012B","11B356012B")</f>
        <v>11B356012B</v>
      </c>
      <c r="D1044" t="s">
        <v>4</v>
      </c>
    </row>
    <row r="1045" spans="1:4" outlineLevel="1" x14ac:dyDescent="0.25">
      <c r="A1045" t="s">
        <v>166</v>
      </c>
      <c r="B1045" t="s">
        <v>35</v>
      </c>
      <c r="C1045" s="1" t="str">
        <f>HYPERLINK("http://продеталь.рф/search.html?article=312011","312011")</f>
        <v>312011</v>
      </c>
      <c r="D1045" t="s">
        <v>21</v>
      </c>
    </row>
    <row r="1046" spans="1:4" outlineLevel="1" x14ac:dyDescent="0.25">
      <c r="A1046" t="s">
        <v>166</v>
      </c>
      <c r="B1046" t="s">
        <v>1</v>
      </c>
      <c r="C1046" s="1" t="str">
        <f>HYPERLINK("http://продеталь.рф/search.html?article=CT20001AB","CT20001AB")</f>
        <v>CT20001AB</v>
      </c>
      <c r="D1046" t="s">
        <v>2</v>
      </c>
    </row>
    <row r="1047" spans="1:4" outlineLevel="1" x14ac:dyDescent="0.25">
      <c r="A1047" t="s">
        <v>166</v>
      </c>
      <c r="B1047" t="s">
        <v>27</v>
      </c>
      <c r="C1047" s="1" t="str">
        <f>HYPERLINK("http://продеталь.рф/search.html?article=CT30012A","CT30012A")</f>
        <v>CT30012A</v>
      </c>
      <c r="D1047" t="s">
        <v>2</v>
      </c>
    </row>
    <row r="1048" spans="1:4" outlineLevel="1" x14ac:dyDescent="0.25">
      <c r="A1048" t="s">
        <v>166</v>
      </c>
      <c r="B1048" t="s">
        <v>27</v>
      </c>
      <c r="C1048" s="1" t="str">
        <f>HYPERLINK("http://продеталь.рф/search.html?article=CT30012B","CT30012B")</f>
        <v>CT30012B</v>
      </c>
      <c r="D1048" t="s">
        <v>2</v>
      </c>
    </row>
    <row r="1049" spans="1:4" outlineLevel="1" x14ac:dyDescent="0.25">
      <c r="A1049" t="s">
        <v>166</v>
      </c>
      <c r="B1049" t="s">
        <v>3</v>
      </c>
      <c r="C1049" s="1" t="str">
        <f>HYPERLINK("http://продеталь.рф/search.html?article=200462052","200462052")</f>
        <v>200462052</v>
      </c>
      <c r="D1049" t="s">
        <v>4</v>
      </c>
    </row>
    <row r="1050" spans="1:4" outlineLevel="1" x14ac:dyDescent="0.25">
      <c r="A1050" t="s">
        <v>166</v>
      </c>
      <c r="B1050" t="s">
        <v>3</v>
      </c>
      <c r="C1050" s="1" t="str">
        <f>HYPERLINK("http://продеталь.рф/search.html?article=200461052","200461052")</f>
        <v>200461052</v>
      </c>
      <c r="D1050" t="s">
        <v>4</v>
      </c>
    </row>
    <row r="1051" spans="1:4" outlineLevel="1" x14ac:dyDescent="0.25">
      <c r="A1051" t="s">
        <v>166</v>
      </c>
      <c r="B1051" t="s">
        <v>19</v>
      </c>
      <c r="C1051" s="1" t="str">
        <f>HYPERLINK("http://продеталь.рф/search.html?article=190091052","190091052")</f>
        <v>190091052</v>
      </c>
      <c r="D1051" t="s">
        <v>4</v>
      </c>
    </row>
    <row r="1052" spans="1:4" outlineLevel="1" x14ac:dyDescent="0.25">
      <c r="A1052" t="s">
        <v>166</v>
      </c>
      <c r="B1052" t="s">
        <v>13</v>
      </c>
      <c r="C1052" s="1" t="str">
        <f>HYPERLINK("http://продеталь.рф/search.html?article=1301310","1301310")</f>
        <v>1301310</v>
      </c>
      <c r="D1052" t="s">
        <v>58</v>
      </c>
    </row>
    <row r="1053" spans="1:4" x14ac:dyDescent="0.25">
      <c r="A1053" t="s">
        <v>167</v>
      </c>
      <c r="B1053" s="2" t="s">
        <v>167</v>
      </c>
      <c r="C1053" s="2"/>
      <c r="D1053" s="2"/>
    </row>
    <row r="1054" spans="1:4" outlineLevel="1" x14ac:dyDescent="0.25">
      <c r="A1054" t="s">
        <v>167</v>
      </c>
      <c r="B1054" t="s">
        <v>11</v>
      </c>
      <c r="C1054" s="1" t="str">
        <f>HYPERLINK("http://продеталь.рф/search.html?article=BR32","BR32")</f>
        <v>BR32</v>
      </c>
      <c r="D1054" t="s">
        <v>18</v>
      </c>
    </row>
    <row r="1055" spans="1:4" outlineLevel="1" x14ac:dyDescent="0.25">
      <c r="A1055" t="s">
        <v>167</v>
      </c>
      <c r="B1055" t="s">
        <v>15</v>
      </c>
      <c r="C1055" s="1" t="str">
        <f>HYPERLINK("http://продеталь.рф/search.html?article=VCTM1015MR","VCTM1015MR")</f>
        <v>VCTM1015MR</v>
      </c>
      <c r="D1055" t="s">
        <v>6</v>
      </c>
    </row>
    <row r="1056" spans="1:4" outlineLevel="1" x14ac:dyDescent="0.25">
      <c r="A1056" t="s">
        <v>167</v>
      </c>
      <c r="B1056" t="s">
        <v>23</v>
      </c>
      <c r="C1056" s="1" t="str">
        <f>HYPERLINK("http://продеталь.рф/search.html?article=11B380012B","11B380012B")</f>
        <v>11B380012B</v>
      </c>
      <c r="D1056" t="s">
        <v>4</v>
      </c>
    </row>
    <row r="1057" spans="1:4" outlineLevel="1" x14ac:dyDescent="0.25">
      <c r="A1057" t="s">
        <v>167</v>
      </c>
      <c r="B1057" t="s">
        <v>3</v>
      </c>
      <c r="C1057" s="1" t="str">
        <f>HYPERLINK("http://продеталь.рф/search.html?article=20B810052B","20B810052B")</f>
        <v>20B810052B</v>
      </c>
      <c r="D1057" t="s">
        <v>4</v>
      </c>
    </row>
    <row r="1058" spans="1:4" outlineLevel="1" x14ac:dyDescent="0.25">
      <c r="A1058" t="s">
        <v>167</v>
      </c>
      <c r="B1058" t="s">
        <v>3</v>
      </c>
      <c r="C1058" s="1" t="str">
        <f>HYPERLINK("http://продеталь.рф/search.html?article=20B751052B","20B751052B")</f>
        <v>20B751052B</v>
      </c>
      <c r="D1058" t="s">
        <v>4</v>
      </c>
    </row>
    <row r="1059" spans="1:4" outlineLevel="1" x14ac:dyDescent="0.25">
      <c r="A1059" t="s">
        <v>167</v>
      </c>
      <c r="B1059" t="s">
        <v>5</v>
      </c>
      <c r="C1059" s="1" t="str">
        <f>HYPERLINK("http://продеталь.рф/search.html?article=211545","211545")</f>
        <v>211545</v>
      </c>
      <c r="D1059" t="s">
        <v>21</v>
      </c>
    </row>
    <row r="1060" spans="1:4" outlineLevel="1" x14ac:dyDescent="0.25">
      <c r="A1060" t="s">
        <v>167</v>
      </c>
      <c r="B1060" t="s">
        <v>5</v>
      </c>
      <c r="C1060" s="1" t="str">
        <f>HYPERLINK("http://продеталь.рф/search.html?article=211546","211546")</f>
        <v>211546</v>
      </c>
      <c r="D1060" t="s">
        <v>21</v>
      </c>
    </row>
    <row r="1061" spans="1:4" outlineLevel="1" x14ac:dyDescent="0.25">
      <c r="A1061" t="s">
        <v>167</v>
      </c>
      <c r="B1061" t="s">
        <v>40</v>
      </c>
      <c r="C1061" s="1" t="str">
        <f>HYPERLINK("http://продеталь.рф/search.html?article=P963","P963")</f>
        <v>P963</v>
      </c>
      <c r="D1061" t="s">
        <v>18</v>
      </c>
    </row>
    <row r="1062" spans="1:4" outlineLevel="1" x14ac:dyDescent="0.25">
      <c r="A1062" t="s">
        <v>167</v>
      </c>
      <c r="B1062" t="s">
        <v>12</v>
      </c>
      <c r="C1062" s="1" t="str">
        <f>HYPERLINK("http://продеталь.рф/search.html?article=BR31","BR31")</f>
        <v>BR31</v>
      </c>
      <c r="D1062" t="s">
        <v>18</v>
      </c>
    </row>
    <row r="1063" spans="1:4" outlineLevel="1" x14ac:dyDescent="0.25">
      <c r="A1063" t="s">
        <v>167</v>
      </c>
      <c r="B1063" t="s">
        <v>12</v>
      </c>
      <c r="C1063" s="1" t="str">
        <f>HYPERLINK("http://продеталь.рф/search.html?article=PR08103","PR08103")</f>
        <v>PR08103</v>
      </c>
      <c r="D1063" t="s">
        <v>18</v>
      </c>
    </row>
    <row r="1064" spans="1:4" outlineLevel="1" x14ac:dyDescent="0.25">
      <c r="A1064" t="s">
        <v>167</v>
      </c>
      <c r="B1064" t="s">
        <v>13</v>
      </c>
      <c r="C1064" s="1" t="str">
        <f>HYPERLINK("http://продеталь.рф/search.html?article=PCT44016AW","PCT44016AW")</f>
        <v>PCT44016AW</v>
      </c>
      <c r="D1064" t="s">
        <v>6</v>
      </c>
    </row>
    <row r="1065" spans="1:4" outlineLevel="1" x14ac:dyDescent="0.25">
      <c r="A1065" t="s">
        <v>167</v>
      </c>
      <c r="B1065" t="s">
        <v>13</v>
      </c>
      <c r="C1065" s="1" t="str">
        <f>HYPERLINK("http://продеталь.рф/search.html?article=PPG44016AU","PPG44016AU")</f>
        <v>PPG44016AU</v>
      </c>
      <c r="D1065" t="s">
        <v>6</v>
      </c>
    </row>
    <row r="1066" spans="1:4" x14ac:dyDescent="0.25">
      <c r="A1066" t="s">
        <v>168</v>
      </c>
      <c r="B1066" s="2" t="s">
        <v>168</v>
      </c>
      <c r="C1066" s="2"/>
      <c r="D1066" s="2"/>
    </row>
    <row r="1067" spans="1:4" outlineLevel="1" x14ac:dyDescent="0.25">
      <c r="A1067" t="s">
        <v>168</v>
      </c>
      <c r="B1067" t="s">
        <v>11</v>
      </c>
      <c r="C1067" s="1" t="str">
        <f>HYPERLINK("http://продеталь.рф/search.html?article=C204","C204")</f>
        <v>C204</v>
      </c>
      <c r="D1067" t="s">
        <v>18</v>
      </c>
    </row>
    <row r="1068" spans="1:4" outlineLevel="1" x14ac:dyDescent="0.25">
      <c r="A1068" t="s">
        <v>168</v>
      </c>
      <c r="B1068" t="s">
        <v>3</v>
      </c>
      <c r="C1068" s="1" t="str">
        <f>HYPERLINK("http://продеталь.рф/search.html?article=200414052","200414052")</f>
        <v>200414052</v>
      </c>
      <c r="D1068" t="s">
        <v>4</v>
      </c>
    </row>
    <row r="1069" spans="1:4" outlineLevel="1" x14ac:dyDescent="0.25">
      <c r="A1069" t="s">
        <v>168</v>
      </c>
      <c r="B1069" t="s">
        <v>3</v>
      </c>
      <c r="C1069" s="1" t="str">
        <f>HYPERLINK("http://продеталь.рф/search.html?article=200413052","200413052")</f>
        <v>200413052</v>
      </c>
      <c r="D1069" t="s">
        <v>4</v>
      </c>
    </row>
    <row r="1070" spans="1:4" outlineLevel="1" x14ac:dyDescent="0.25">
      <c r="A1070" t="s">
        <v>168</v>
      </c>
      <c r="B1070" t="s">
        <v>5</v>
      </c>
      <c r="C1070" s="1" t="str">
        <f>HYPERLINK("http://продеталь.рф/search.html?article=212825","212825")</f>
        <v>212825</v>
      </c>
      <c r="D1070" t="s">
        <v>21</v>
      </c>
    </row>
    <row r="1071" spans="1:4" outlineLevel="1" x14ac:dyDescent="0.25">
      <c r="A1071" t="s">
        <v>168</v>
      </c>
      <c r="B1071" t="s">
        <v>5</v>
      </c>
      <c r="C1071" s="1" t="str">
        <f>HYPERLINK("http://продеталь.рф/search.html?article=212826","212826")</f>
        <v>212826</v>
      </c>
      <c r="D1071" t="s">
        <v>21</v>
      </c>
    </row>
    <row r="1072" spans="1:4" x14ac:dyDescent="0.25">
      <c r="A1072" t="s">
        <v>169</v>
      </c>
      <c r="B1072" s="2" t="s">
        <v>169</v>
      </c>
      <c r="C1072" s="2"/>
      <c r="D1072" s="2"/>
    </row>
    <row r="1073" spans="1:4" outlineLevel="1" x14ac:dyDescent="0.25">
      <c r="A1073" t="s">
        <v>169</v>
      </c>
      <c r="B1073" t="s">
        <v>11</v>
      </c>
      <c r="C1073" s="1" t="str">
        <f>HYPERLINK("http://продеталь.рф/search.html?article=C312","C312")</f>
        <v>C312</v>
      </c>
      <c r="D1073" t="s">
        <v>18</v>
      </c>
    </row>
    <row r="1074" spans="1:4" outlineLevel="1" x14ac:dyDescent="0.25">
      <c r="A1074" t="s">
        <v>169</v>
      </c>
      <c r="B1074" t="s">
        <v>35</v>
      </c>
      <c r="C1074" s="1" t="str">
        <f>HYPERLINK("http://продеталь.рф/search.html?article=2315345","2315345")</f>
        <v>2315345</v>
      </c>
      <c r="D1074" t="s">
        <v>81</v>
      </c>
    </row>
    <row r="1075" spans="1:4" outlineLevel="1" x14ac:dyDescent="0.25">
      <c r="A1075" t="s">
        <v>169</v>
      </c>
      <c r="B1075" t="s">
        <v>1</v>
      </c>
      <c r="C1075" s="1" t="str">
        <f>HYPERLINK("http://продеталь.рф/search.html?article=CT120150","CT120150")</f>
        <v>CT120150</v>
      </c>
      <c r="D1075" t="s">
        <v>9</v>
      </c>
    </row>
    <row r="1076" spans="1:4" outlineLevel="1" x14ac:dyDescent="0.25">
      <c r="A1076" t="s">
        <v>169</v>
      </c>
      <c r="B1076" t="s">
        <v>1</v>
      </c>
      <c r="C1076" s="1" t="str">
        <f>HYPERLINK("http://продеталь.рф/search.html?article=PCT20015A","PCT20015A")</f>
        <v>PCT20015A</v>
      </c>
      <c r="D1076" t="s">
        <v>6</v>
      </c>
    </row>
    <row r="1077" spans="1:4" outlineLevel="1" x14ac:dyDescent="0.25">
      <c r="A1077" t="s">
        <v>169</v>
      </c>
      <c r="B1077" t="s">
        <v>24</v>
      </c>
      <c r="C1077" s="1" t="str">
        <f>HYPERLINK("http://продеталь.рф/search.html?article=PCT10010BL","PCT10010BL")</f>
        <v>PCT10010BL</v>
      </c>
      <c r="D1077" t="s">
        <v>6</v>
      </c>
    </row>
    <row r="1078" spans="1:4" outlineLevel="1" x14ac:dyDescent="0.25">
      <c r="A1078" t="s">
        <v>169</v>
      </c>
      <c r="B1078" t="s">
        <v>24</v>
      </c>
      <c r="C1078" s="1" t="str">
        <f>HYPERLINK("http://продеталь.рф/search.html?article=PCT10010BR","PCT10010BR")</f>
        <v>PCT10010BR</v>
      </c>
      <c r="D1078" t="s">
        <v>6</v>
      </c>
    </row>
    <row r="1079" spans="1:4" outlineLevel="1" x14ac:dyDescent="0.25">
      <c r="A1079" t="s">
        <v>169</v>
      </c>
      <c r="B1079" t="s">
        <v>26</v>
      </c>
      <c r="C1079" s="1" t="str">
        <f>HYPERLINK("http://продеталь.рф/search.html?article=111340","111340")</f>
        <v>111340</v>
      </c>
      <c r="D1079" t="s">
        <v>61</v>
      </c>
    </row>
    <row r="1080" spans="1:4" outlineLevel="1" x14ac:dyDescent="0.25">
      <c r="A1080" t="s">
        <v>169</v>
      </c>
      <c r="B1080" t="s">
        <v>26</v>
      </c>
      <c r="C1080" s="1" t="str">
        <f>HYPERLINK("http://продеталь.рф/search.html?article=111339","111339")</f>
        <v>111339</v>
      </c>
      <c r="D1080" t="s">
        <v>61</v>
      </c>
    </row>
    <row r="1081" spans="1:4" outlineLevel="1" x14ac:dyDescent="0.25">
      <c r="A1081" t="s">
        <v>169</v>
      </c>
      <c r="B1081" t="s">
        <v>26</v>
      </c>
      <c r="C1081" s="1" t="str">
        <f>HYPERLINK("http://продеталь.рф/search.html?article=PCT04018MALN","PCT04018MALN")</f>
        <v>PCT04018MALN</v>
      </c>
      <c r="D1081" t="s">
        <v>6</v>
      </c>
    </row>
    <row r="1082" spans="1:4" outlineLevel="1" x14ac:dyDescent="0.25">
      <c r="A1082" t="s">
        <v>169</v>
      </c>
      <c r="B1082" t="s">
        <v>27</v>
      </c>
      <c r="C1082" s="1" t="str">
        <f>HYPERLINK("http://продеталь.рф/search.html?article=CT12009A0","CT12009A0")</f>
        <v>CT12009A0</v>
      </c>
      <c r="D1082" t="s">
        <v>9</v>
      </c>
    </row>
    <row r="1083" spans="1:4" outlineLevel="1" x14ac:dyDescent="0.25">
      <c r="A1083" t="s">
        <v>169</v>
      </c>
      <c r="B1083" t="s">
        <v>5</v>
      </c>
      <c r="C1083" s="1" t="str">
        <f>HYPERLINK("http://продеталь.рф/search.html?article=212813","212813")</f>
        <v>212813</v>
      </c>
      <c r="D1083" t="s">
        <v>21</v>
      </c>
    </row>
    <row r="1084" spans="1:4" outlineLevel="1" x14ac:dyDescent="0.25">
      <c r="A1084" t="s">
        <v>169</v>
      </c>
      <c r="B1084" t="s">
        <v>5</v>
      </c>
      <c r="C1084" s="1" t="str">
        <f>HYPERLINK("http://продеталь.рф/search.html?article=212814","212814")</f>
        <v>212814</v>
      </c>
      <c r="D1084" t="s">
        <v>21</v>
      </c>
    </row>
    <row r="1085" spans="1:4" outlineLevel="1" x14ac:dyDescent="0.25">
      <c r="A1085" t="s">
        <v>169</v>
      </c>
      <c r="B1085" t="s">
        <v>19</v>
      </c>
      <c r="C1085" s="1" t="str">
        <f>HYPERLINK("http://продеталь.рф/search.html?article=190251052","190251052")</f>
        <v>190251052</v>
      </c>
      <c r="D1085" t="s">
        <v>4</v>
      </c>
    </row>
    <row r="1086" spans="1:4" outlineLevel="1" x14ac:dyDescent="0.25">
      <c r="A1086" t="s">
        <v>169</v>
      </c>
      <c r="B1086" t="s">
        <v>12</v>
      </c>
      <c r="C1086" s="1" t="str">
        <f>HYPERLINK("http://продеталь.рф/search.html?article=C301","C301")</f>
        <v>C301</v>
      </c>
      <c r="D1086" t="s">
        <v>18</v>
      </c>
    </row>
    <row r="1087" spans="1:4" outlineLevel="1" x14ac:dyDescent="0.25">
      <c r="A1087" t="s">
        <v>169</v>
      </c>
      <c r="B1087" t="s">
        <v>12</v>
      </c>
      <c r="C1087" s="1" t="str">
        <f>HYPERLINK("http://продеталь.рф/search.html?article=1305511","1305511")</f>
        <v>1305511</v>
      </c>
      <c r="D1087" t="s">
        <v>58</v>
      </c>
    </row>
    <row r="1088" spans="1:4" outlineLevel="1" x14ac:dyDescent="0.25">
      <c r="A1088" t="s">
        <v>169</v>
      </c>
      <c r="B1088" t="s">
        <v>12</v>
      </c>
      <c r="C1088" s="1" t="str">
        <f>HYPERLINK("http://продеталь.рф/search.html?article=231505X","231505X")</f>
        <v>231505X</v>
      </c>
      <c r="D1088" t="s">
        <v>81</v>
      </c>
    </row>
    <row r="1089" spans="1:4" outlineLevel="1" x14ac:dyDescent="0.25">
      <c r="A1089" t="s">
        <v>169</v>
      </c>
      <c r="B1089" t="s">
        <v>13</v>
      </c>
      <c r="C1089" s="1" t="str">
        <f>HYPERLINK("http://продеталь.рф/search.html?article=CT120000R1000","CT120000R1000")</f>
        <v>CT120000R1000</v>
      </c>
      <c r="D1089" t="s">
        <v>9</v>
      </c>
    </row>
    <row r="1090" spans="1:4" x14ac:dyDescent="0.25">
      <c r="A1090" t="s">
        <v>170</v>
      </c>
      <c r="B1090" s="2" t="s">
        <v>170</v>
      </c>
      <c r="C1090" s="2"/>
      <c r="D1090" s="2"/>
    </row>
    <row r="1091" spans="1:4" outlineLevel="1" x14ac:dyDescent="0.25">
      <c r="A1091" t="s">
        <v>170</v>
      </c>
      <c r="B1091" t="s">
        <v>1</v>
      </c>
      <c r="C1091" s="1" t="str">
        <f>HYPERLINK("http://продеталь.рф/search.html?article=PCT20026A","PCT20026A")</f>
        <v>PCT20026A</v>
      </c>
      <c r="D1091" t="s">
        <v>6</v>
      </c>
    </row>
    <row r="1092" spans="1:4" outlineLevel="1" x14ac:dyDescent="0.25">
      <c r="A1092" t="s">
        <v>170</v>
      </c>
      <c r="B1092" t="s">
        <v>19</v>
      </c>
      <c r="C1092" s="1" t="str">
        <f>HYPERLINK("http://продеталь.рф/search.html?article=19A937019B","19A937019B")</f>
        <v>19A937019B</v>
      </c>
      <c r="D1092" t="s">
        <v>4</v>
      </c>
    </row>
    <row r="1093" spans="1:4" x14ac:dyDescent="0.25">
      <c r="A1093" t="s">
        <v>171</v>
      </c>
      <c r="B1093" s="2" t="s">
        <v>171</v>
      </c>
      <c r="C1093" s="2"/>
      <c r="D1093" s="2"/>
    </row>
    <row r="1094" spans="1:4" outlineLevel="1" x14ac:dyDescent="0.25">
      <c r="A1094" t="s">
        <v>171</v>
      </c>
      <c r="B1094" t="s">
        <v>11</v>
      </c>
      <c r="C1094" s="1" t="str">
        <f>HYPERLINK("http://продеталь.рф/search.html?article=PCT04014BA","PCT04014BA")</f>
        <v>PCT04014BA</v>
      </c>
      <c r="D1094" t="s">
        <v>6</v>
      </c>
    </row>
    <row r="1095" spans="1:4" outlineLevel="1" x14ac:dyDescent="0.25">
      <c r="A1095" t="s">
        <v>171</v>
      </c>
      <c r="B1095" t="s">
        <v>15</v>
      </c>
      <c r="C1095" s="1" t="str">
        <f>HYPERLINK("http://продеталь.рф/search.html?article=CTM1015ARE","CTM1015ARE")</f>
        <v>CTM1015ARE</v>
      </c>
      <c r="D1095" t="s">
        <v>2</v>
      </c>
    </row>
    <row r="1096" spans="1:4" outlineLevel="1" x14ac:dyDescent="0.25">
      <c r="A1096" t="s">
        <v>171</v>
      </c>
      <c r="B1096" t="s">
        <v>15</v>
      </c>
      <c r="C1096" s="1" t="str">
        <f>HYPERLINK("http://продеталь.рф/search.html?article=388CTD136TPL","388CTD136TPL")</f>
        <v>388CTD136TPL</v>
      </c>
      <c r="D1096" t="s">
        <v>4</v>
      </c>
    </row>
    <row r="1097" spans="1:4" outlineLevel="1" x14ac:dyDescent="0.25">
      <c r="A1097" t="s">
        <v>171</v>
      </c>
      <c r="B1097" t="s">
        <v>35</v>
      </c>
      <c r="C1097" s="1" t="str">
        <f>HYPERLINK("http://продеталь.рф/search.html?article=PCT60006A","PCT60006A")</f>
        <v>PCT60006A</v>
      </c>
      <c r="D1097" t="s">
        <v>6</v>
      </c>
    </row>
    <row r="1098" spans="1:4" outlineLevel="1" x14ac:dyDescent="0.25">
      <c r="A1098" t="s">
        <v>171</v>
      </c>
      <c r="B1098" t="s">
        <v>160</v>
      </c>
      <c r="C1098" s="1" t="str">
        <f>HYPERLINK("http://продеталь.рф/search.html?article=312304","312304")</f>
        <v>312304</v>
      </c>
      <c r="D1098" t="s">
        <v>21</v>
      </c>
    </row>
    <row r="1099" spans="1:4" outlineLevel="1" x14ac:dyDescent="0.25">
      <c r="A1099" t="s">
        <v>171</v>
      </c>
      <c r="B1099" t="s">
        <v>84</v>
      </c>
      <c r="C1099" s="1" t="str">
        <f>HYPERLINK("http://продеталь.рф/search.html?article=CT250000U0L00","CT250000U0L00")</f>
        <v>CT250000U0L00</v>
      </c>
      <c r="D1099" t="s">
        <v>9</v>
      </c>
    </row>
    <row r="1100" spans="1:4" outlineLevel="1" x14ac:dyDescent="0.25">
      <c r="A1100" t="s">
        <v>171</v>
      </c>
      <c r="B1100" t="s">
        <v>84</v>
      </c>
      <c r="C1100" s="1" t="str">
        <f>HYPERLINK("http://продеталь.рф/search.html?article=CT250000U0R00","CT250000U0R00")</f>
        <v>CT250000U0R00</v>
      </c>
      <c r="D1100" t="s">
        <v>9</v>
      </c>
    </row>
    <row r="1101" spans="1:4" outlineLevel="1" x14ac:dyDescent="0.25">
      <c r="A1101" t="s">
        <v>171</v>
      </c>
      <c r="B1101" t="s">
        <v>24</v>
      </c>
      <c r="C1101" s="1" t="str">
        <f>HYPERLINK("http://продеталь.рф/search.html?article=C404510","C404510")</f>
        <v>C404510</v>
      </c>
      <c r="D1101" t="s">
        <v>18</v>
      </c>
    </row>
    <row r="1102" spans="1:4" outlineLevel="1" x14ac:dyDescent="0.25">
      <c r="A1102" t="s">
        <v>171</v>
      </c>
      <c r="B1102" t="s">
        <v>24</v>
      </c>
      <c r="C1102" s="1" t="str">
        <f>HYPERLINK("http://продеталь.рф/search.html?article=C404500","C404500")</f>
        <v>C404500</v>
      </c>
      <c r="D1102" t="s">
        <v>18</v>
      </c>
    </row>
    <row r="1103" spans="1:4" outlineLevel="1" x14ac:dyDescent="0.25">
      <c r="A1103" t="s">
        <v>171</v>
      </c>
      <c r="B1103" t="s">
        <v>103</v>
      </c>
      <c r="C1103" s="1" t="str">
        <f>HYPERLINK("http://продеталь.рф/search.html?article=CT99004CARN","CT99004CARN")</f>
        <v>CT99004CARN</v>
      </c>
      <c r="D1103" t="s">
        <v>2</v>
      </c>
    </row>
    <row r="1104" spans="1:4" outlineLevel="1" x14ac:dyDescent="0.25">
      <c r="A1104" t="s">
        <v>171</v>
      </c>
      <c r="B1104" t="s">
        <v>3</v>
      </c>
      <c r="C1104" s="1" t="str">
        <f>HYPERLINK("http://продеталь.рф/search.html?article=20A663052B","20A663052B")</f>
        <v>20A663052B</v>
      </c>
      <c r="D1104" t="s">
        <v>4</v>
      </c>
    </row>
    <row r="1105" spans="1:4" outlineLevel="1" x14ac:dyDescent="0.25">
      <c r="A1105" t="s">
        <v>171</v>
      </c>
      <c r="B1105" t="s">
        <v>3</v>
      </c>
      <c r="C1105" s="1" t="str">
        <f>HYPERLINK("http://продеталь.рф/search.html?article=20B256A52B","20B256A52B")</f>
        <v>20B256A52B</v>
      </c>
      <c r="D1105" t="s">
        <v>4</v>
      </c>
    </row>
    <row r="1106" spans="1:4" outlineLevel="1" x14ac:dyDescent="0.25">
      <c r="A1106" t="s">
        <v>171</v>
      </c>
      <c r="B1106" t="s">
        <v>5</v>
      </c>
      <c r="C1106" s="1" t="str">
        <f>HYPERLINK("http://продеталь.рф/search.html?article=CT11018AR","CT11018AR")</f>
        <v>CT11018AR</v>
      </c>
      <c r="D1106" t="s">
        <v>2</v>
      </c>
    </row>
    <row r="1107" spans="1:4" outlineLevel="1" x14ac:dyDescent="0.25">
      <c r="A1107" t="s">
        <v>171</v>
      </c>
      <c r="B1107" t="s">
        <v>19</v>
      </c>
      <c r="C1107" s="1" t="str">
        <f>HYPERLINK("http://продеталь.рф/search.html?article=19A619012B","19A619012B")</f>
        <v>19A619012B</v>
      </c>
      <c r="D1107" t="s">
        <v>4</v>
      </c>
    </row>
    <row r="1108" spans="1:4" outlineLevel="1" x14ac:dyDescent="0.25">
      <c r="A1108" t="s">
        <v>171</v>
      </c>
      <c r="B1108" t="s">
        <v>13</v>
      </c>
      <c r="C1108" s="1" t="str">
        <f>HYPERLINK("http://продеталь.рф/search.html?article=C404400","C404400")</f>
        <v>C404400</v>
      </c>
      <c r="D1108" t="s">
        <v>18</v>
      </c>
    </row>
    <row r="1109" spans="1:4" x14ac:dyDescent="0.25">
      <c r="A1109" t="s">
        <v>172</v>
      </c>
      <c r="B1109" s="2" t="s">
        <v>172</v>
      </c>
      <c r="C1109" s="2"/>
      <c r="D1109" s="2"/>
    </row>
    <row r="1110" spans="1:4" outlineLevel="1" x14ac:dyDescent="0.25">
      <c r="A1110" t="s">
        <v>172</v>
      </c>
      <c r="B1110" t="s">
        <v>23</v>
      </c>
      <c r="C1110" s="1" t="str">
        <f>HYPERLINK("http://продеталь.рф/search.html?article=11C135012B","11C135012B")</f>
        <v>11C135012B</v>
      </c>
      <c r="D1110" t="s">
        <v>4</v>
      </c>
    </row>
    <row r="1111" spans="1:4" outlineLevel="1" x14ac:dyDescent="0.25">
      <c r="A1111" t="s">
        <v>172</v>
      </c>
      <c r="B1111" t="s">
        <v>24</v>
      </c>
      <c r="C1111" s="1" t="str">
        <f>HYPERLINK("http://продеталь.рф/search.html?article=CT10028AL","CT10028AL")</f>
        <v>CT10028AL</v>
      </c>
      <c r="D1111" t="s">
        <v>2</v>
      </c>
    </row>
    <row r="1112" spans="1:4" outlineLevel="1" x14ac:dyDescent="0.25">
      <c r="A1112" t="s">
        <v>172</v>
      </c>
      <c r="B1112" t="s">
        <v>40</v>
      </c>
      <c r="C1112" s="1" t="str">
        <f>HYPERLINK("http://продеталь.рф/search.html?article=CT07026GAV","CT07026GAV")</f>
        <v>CT07026GAV</v>
      </c>
      <c r="D1112" t="s">
        <v>2</v>
      </c>
    </row>
    <row r="1113" spans="1:4" outlineLevel="1" x14ac:dyDescent="0.25">
      <c r="A1113" t="s">
        <v>172</v>
      </c>
      <c r="B1113" t="s">
        <v>12</v>
      </c>
      <c r="C1113" s="1" t="str">
        <f>HYPERLINK("http://продеталь.рф/search.html?article=C410100","C410100")</f>
        <v>C410100</v>
      </c>
      <c r="D1113" t="s">
        <v>18</v>
      </c>
    </row>
    <row r="1114" spans="1:4" outlineLevel="1" x14ac:dyDescent="0.25">
      <c r="A1114" t="s">
        <v>172</v>
      </c>
      <c r="B1114" t="s">
        <v>13</v>
      </c>
      <c r="C1114" s="1" t="str">
        <f>HYPERLINK("http://продеталь.рф/search.html?article=CT44025B","CT44025B")</f>
        <v>CT44025B</v>
      </c>
      <c r="D1114" t="s">
        <v>2</v>
      </c>
    </row>
    <row r="1115" spans="1:4" x14ac:dyDescent="0.25">
      <c r="A1115" t="s">
        <v>173</v>
      </c>
      <c r="B1115" s="2" t="s">
        <v>173</v>
      </c>
      <c r="C1115" s="2"/>
      <c r="D1115" s="2"/>
    </row>
    <row r="1116" spans="1:4" outlineLevel="1" x14ac:dyDescent="0.25">
      <c r="A1116" t="s">
        <v>173</v>
      </c>
      <c r="B1116" t="s">
        <v>11</v>
      </c>
      <c r="C1116" s="1" t="str">
        <f>HYPERLINK("http://продеталь.рф/search.html?article=C512","C512")</f>
        <v>C512</v>
      </c>
      <c r="D1116" t="s">
        <v>18</v>
      </c>
    </row>
    <row r="1117" spans="1:4" outlineLevel="1" x14ac:dyDescent="0.25">
      <c r="A1117" t="s">
        <v>173</v>
      </c>
      <c r="B1117" t="s">
        <v>23</v>
      </c>
      <c r="C1117" s="1" t="str">
        <f>HYPERLINK("http://продеталь.рф/search.html?article=110017012","110017012")</f>
        <v>110017012</v>
      </c>
      <c r="D1117" t="s">
        <v>4</v>
      </c>
    </row>
    <row r="1118" spans="1:4" outlineLevel="1" x14ac:dyDescent="0.25">
      <c r="A1118" t="s">
        <v>173</v>
      </c>
      <c r="B1118" t="s">
        <v>35</v>
      </c>
      <c r="C1118" s="1" t="str">
        <f>HYPERLINK("http://продеталь.рф/search.html?article=PCT60004A","PCT60004A")</f>
        <v>PCT60004A</v>
      </c>
      <c r="D1118" t="s">
        <v>6</v>
      </c>
    </row>
    <row r="1119" spans="1:4" outlineLevel="1" x14ac:dyDescent="0.25">
      <c r="A1119" t="s">
        <v>173</v>
      </c>
      <c r="B1119" t="s">
        <v>35</v>
      </c>
      <c r="C1119" s="1" t="str">
        <f>HYPERLINK("http://продеталь.рф/search.html?article=312018","312018")</f>
        <v>312018</v>
      </c>
      <c r="D1119" t="s">
        <v>21</v>
      </c>
    </row>
    <row r="1120" spans="1:4" outlineLevel="1" x14ac:dyDescent="0.25">
      <c r="A1120" t="s">
        <v>173</v>
      </c>
      <c r="B1120" t="s">
        <v>66</v>
      </c>
      <c r="C1120" s="1" t="str">
        <f>HYPERLINK("http://продеталь.рф/search.html?article=BK044","BK044")</f>
        <v>BK044</v>
      </c>
      <c r="D1120" t="s">
        <v>6</v>
      </c>
    </row>
    <row r="1121" spans="1:4" outlineLevel="1" x14ac:dyDescent="0.25">
      <c r="A1121" t="s">
        <v>173</v>
      </c>
      <c r="B1121" t="s">
        <v>3</v>
      </c>
      <c r="C1121" s="1" t="str">
        <f>HYPERLINK("http://продеталь.рф/search.html?article=200028052","200028052")</f>
        <v>200028052</v>
      </c>
      <c r="D1121" t="s">
        <v>4</v>
      </c>
    </row>
    <row r="1122" spans="1:4" outlineLevel="1" x14ac:dyDescent="0.25">
      <c r="A1122" t="s">
        <v>173</v>
      </c>
      <c r="B1122" t="s">
        <v>3</v>
      </c>
      <c r="C1122" s="1" t="str">
        <f>HYPERLINK("http://продеталь.рф/search.html?article=200027052","200027052")</f>
        <v>200027052</v>
      </c>
      <c r="D1122" t="s">
        <v>4</v>
      </c>
    </row>
    <row r="1123" spans="1:4" outlineLevel="1" x14ac:dyDescent="0.25">
      <c r="A1123" t="s">
        <v>173</v>
      </c>
      <c r="B1123" t="s">
        <v>3</v>
      </c>
      <c r="C1123" s="1" t="str">
        <f>HYPERLINK("http://продеталь.рф/search.html?article=200624052","200624052")</f>
        <v>200624052</v>
      </c>
      <c r="D1123" t="s">
        <v>4</v>
      </c>
    </row>
    <row r="1124" spans="1:4" outlineLevel="1" x14ac:dyDescent="0.25">
      <c r="A1124" t="s">
        <v>173</v>
      </c>
      <c r="B1124" t="s">
        <v>3</v>
      </c>
      <c r="C1124" s="1" t="str">
        <f>HYPERLINK("http://продеталь.рф/search.html?article=200623052","200623052")</f>
        <v>200623052</v>
      </c>
      <c r="D1124" t="s">
        <v>4</v>
      </c>
    </row>
    <row r="1125" spans="1:4" outlineLevel="1" x14ac:dyDescent="0.25">
      <c r="A1125" t="s">
        <v>173</v>
      </c>
      <c r="B1125" t="s">
        <v>5</v>
      </c>
      <c r="C1125" s="1" t="str">
        <f>HYPERLINK("http://продеталь.рф/search.html?article=212818A","212818A")</f>
        <v>212818A</v>
      </c>
      <c r="D1125" t="s">
        <v>21</v>
      </c>
    </row>
    <row r="1126" spans="1:4" outlineLevel="1" x14ac:dyDescent="0.25">
      <c r="A1126" t="s">
        <v>173</v>
      </c>
      <c r="B1126" t="s">
        <v>5</v>
      </c>
      <c r="C1126" s="1" t="str">
        <f>HYPERLINK("http://продеталь.рф/search.html?article=212817A","212817A")</f>
        <v>212817A</v>
      </c>
      <c r="D1126" t="s">
        <v>21</v>
      </c>
    </row>
    <row r="1127" spans="1:4" outlineLevel="1" x14ac:dyDescent="0.25">
      <c r="A1127" t="s">
        <v>173</v>
      </c>
      <c r="B1127" t="s">
        <v>28</v>
      </c>
      <c r="C1127" s="1" t="str">
        <f>HYPERLINK("http://продеталь.рф/search.html?article=RA63705Q","RA63705Q")</f>
        <v>RA63705Q</v>
      </c>
      <c r="D1127" t="s">
        <v>6</v>
      </c>
    </row>
    <row r="1128" spans="1:4" outlineLevel="1" x14ac:dyDescent="0.25">
      <c r="A1128" t="s">
        <v>173</v>
      </c>
      <c r="B1128" t="s">
        <v>75</v>
      </c>
      <c r="C1128" s="1" t="str">
        <f>HYPERLINK("http://продеталь.рф/search.html?article=180273002","180273002")</f>
        <v>180273002</v>
      </c>
      <c r="D1128" t="s">
        <v>4</v>
      </c>
    </row>
    <row r="1129" spans="1:4" outlineLevel="1" x14ac:dyDescent="0.25">
      <c r="A1129" t="s">
        <v>173</v>
      </c>
      <c r="B1129" t="s">
        <v>13</v>
      </c>
      <c r="C1129" s="1" t="str">
        <f>HYPERLINK("http://продеталь.рф/search.html?article=CT22000R0","CT22000R0")</f>
        <v>CT22000R0</v>
      </c>
      <c r="D1129" t="s">
        <v>9</v>
      </c>
    </row>
    <row r="1130" spans="1:4" x14ac:dyDescent="0.25">
      <c r="A1130" t="s">
        <v>174</v>
      </c>
      <c r="B1130" s="2" t="s">
        <v>174</v>
      </c>
      <c r="C1130" s="2"/>
      <c r="D1130" s="2"/>
    </row>
    <row r="1131" spans="1:4" outlineLevel="1" x14ac:dyDescent="0.25">
      <c r="A1131" t="s">
        <v>174</v>
      </c>
      <c r="B1131" t="s">
        <v>11</v>
      </c>
      <c r="C1131" s="1" t="str">
        <f>HYPERLINK("http://продеталь.рф/search.html?article=C508200","C508200")</f>
        <v>C508200</v>
      </c>
      <c r="D1131" t="s">
        <v>18</v>
      </c>
    </row>
    <row r="1132" spans="1:4" outlineLevel="1" x14ac:dyDescent="0.25">
      <c r="A1132" t="s">
        <v>174</v>
      </c>
      <c r="B1132" t="s">
        <v>103</v>
      </c>
      <c r="C1132" s="1" t="str">
        <f>HYPERLINK("http://продеталь.рф/search.html?article=PCT99005CAL","PCT99005CAL")</f>
        <v>PCT99005CAL</v>
      </c>
      <c r="D1132" t="s">
        <v>6</v>
      </c>
    </row>
    <row r="1133" spans="1:4" outlineLevel="1" x14ac:dyDescent="0.25">
      <c r="A1133" t="s">
        <v>174</v>
      </c>
      <c r="B1133" t="s">
        <v>3</v>
      </c>
      <c r="C1133" s="1" t="str">
        <f>HYPERLINK("http://продеталь.рф/search.html?article=20B755052B","20B755052B")</f>
        <v>20B755052B</v>
      </c>
      <c r="D1133" t="s">
        <v>4</v>
      </c>
    </row>
    <row r="1134" spans="1:4" outlineLevel="1" x14ac:dyDescent="0.25">
      <c r="A1134" t="s">
        <v>174</v>
      </c>
      <c r="B1134" t="s">
        <v>5</v>
      </c>
      <c r="C1134" s="1" t="str">
        <f>HYPERLINK("http://продеталь.рф/search.html?article=306CTF050","306CTF050")</f>
        <v>306CTF050</v>
      </c>
      <c r="D1134" t="s">
        <v>4</v>
      </c>
    </row>
    <row r="1135" spans="1:4" outlineLevel="1" x14ac:dyDescent="0.25">
      <c r="A1135" t="s">
        <v>174</v>
      </c>
      <c r="B1135" t="s">
        <v>13</v>
      </c>
      <c r="C1135" s="1" t="str">
        <f>HYPERLINK("http://продеталь.рф/search.html?article=PCT44018A","PCT44018A")</f>
        <v>PCT44018A</v>
      </c>
      <c r="D1135" t="s">
        <v>6</v>
      </c>
    </row>
    <row r="1136" spans="1:4" x14ac:dyDescent="0.25">
      <c r="A1136" t="s">
        <v>175</v>
      </c>
      <c r="B1136" s="2" t="s">
        <v>175</v>
      </c>
      <c r="C1136" s="2"/>
      <c r="D1136" s="2"/>
    </row>
    <row r="1137" spans="1:4" outlineLevel="1" x14ac:dyDescent="0.25">
      <c r="A1137" t="s">
        <v>175</v>
      </c>
      <c r="B1137" t="s">
        <v>15</v>
      </c>
      <c r="C1137" s="1" t="str">
        <f>HYPERLINK("http://продеталь.рф/search.html?article=3050024","3050024")</f>
        <v>3050024</v>
      </c>
      <c r="D1137" t="s">
        <v>4</v>
      </c>
    </row>
    <row r="1138" spans="1:4" outlineLevel="1" x14ac:dyDescent="0.25">
      <c r="A1138" t="s">
        <v>175</v>
      </c>
      <c r="B1138" t="s">
        <v>15</v>
      </c>
      <c r="C1138" s="1" t="str">
        <f>HYPERLINK("http://продеталь.рф/search.html?article=3050097","3050097")</f>
        <v>3050097</v>
      </c>
      <c r="D1138" t="s">
        <v>4</v>
      </c>
    </row>
    <row r="1139" spans="1:4" outlineLevel="1" x14ac:dyDescent="0.25">
      <c r="A1139" t="s">
        <v>175</v>
      </c>
      <c r="B1139" t="s">
        <v>3</v>
      </c>
      <c r="C1139" s="1" t="str">
        <f>HYPERLINK("http://продеталь.рф/search.html?article=205518082","205518082")</f>
        <v>205518082</v>
      </c>
      <c r="D1139" t="s">
        <v>4</v>
      </c>
    </row>
    <row r="1140" spans="1:4" outlineLevel="1" x14ac:dyDescent="0.25">
      <c r="A1140" t="s">
        <v>175</v>
      </c>
      <c r="B1140" t="s">
        <v>3</v>
      </c>
      <c r="C1140" s="1" t="str">
        <f>HYPERLINK("http://продеталь.рф/search.html?article=205517082","205517082")</f>
        <v>205517082</v>
      </c>
      <c r="D1140" t="s">
        <v>4</v>
      </c>
    </row>
    <row r="1141" spans="1:4" outlineLevel="1" x14ac:dyDescent="0.25">
      <c r="A1141" t="s">
        <v>175</v>
      </c>
      <c r="B1141" t="s">
        <v>54</v>
      </c>
      <c r="C1141" s="1" t="str">
        <f>HYPERLINK("http://продеталь.рф/search.html?article=2092042","2092042")</f>
        <v>2092042</v>
      </c>
      <c r="D1141" t="s">
        <v>46</v>
      </c>
    </row>
    <row r="1142" spans="1:4" outlineLevel="1" x14ac:dyDescent="0.25">
      <c r="A1142" t="s">
        <v>175</v>
      </c>
      <c r="B1142" t="s">
        <v>19</v>
      </c>
      <c r="C1142" s="1" t="str">
        <f>HYPERLINK("http://продеталь.рф/search.html?article=195032052","195032052")</f>
        <v>195032052</v>
      </c>
      <c r="D1142" t="s">
        <v>4</v>
      </c>
    </row>
    <row r="1143" spans="1:4" outlineLevel="1" x14ac:dyDescent="0.25">
      <c r="A1143" t="s">
        <v>175</v>
      </c>
      <c r="B1143" t="s">
        <v>28</v>
      </c>
      <c r="C1143" s="1" t="str">
        <f>HYPERLINK("http://продеталь.рф/search.html?article=RA61875A","RA61875A")</f>
        <v>RA61875A</v>
      </c>
      <c r="D1143" t="s">
        <v>6</v>
      </c>
    </row>
    <row r="1144" spans="1:4" outlineLevel="1" x14ac:dyDescent="0.25">
      <c r="A1144" t="s">
        <v>175</v>
      </c>
      <c r="B1144" t="s">
        <v>176</v>
      </c>
      <c r="C1144" s="1" t="str">
        <f>HYPERLINK("http://продеталь.рф/search.html?article=SPG2017L","SPG2017L")</f>
        <v>SPG2017L</v>
      </c>
      <c r="D1144" t="s">
        <v>63</v>
      </c>
    </row>
    <row r="1145" spans="1:4" outlineLevel="1" x14ac:dyDescent="0.25">
      <c r="A1145" t="s">
        <v>175</v>
      </c>
      <c r="B1145" t="s">
        <v>176</v>
      </c>
      <c r="C1145" s="1" t="str">
        <f>HYPERLINK("http://продеталь.рф/search.html?article=SPG2017R","SPG2017R")</f>
        <v>SPG2017R</v>
      </c>
      <c r="D1145" t="s">
        <v>63</v>
      </c>
    </row>
    <row r="1146" spans="1:4" outlineLevel="1" x14ac:dyDescent="0.25">
      <c r="A1146" t="s">
        <v>175</v>
      </c>
      <c r="B1146" t="s">
        <v>16</v>
      </c>
      <c r="C1146" s="1" t="str">
        <f>HYPERLINK("http://продеталь.рф/search.html?article=185516052","185516052")</f>
        <v>185516052</v>
      </c>
      <c r="D1146" t="s">
        <v>4</v>
      </c>
    </row>
    <row r="1147" spans="1:4" outlineLevel="1" x14ac:dyDescent="0.25">
      <c r="A1147" t="s">
        <v>175</v>
      </c>
      <c r="B1147" t="s">
        <v>16</v>
      </c>
      <c r="C1147" s="1" t="str">
        <f>HYPERLINK("http://продеталь.рф/search.html?article=185515052","185515052")</f>
        <v>185515052</v>
      </c>
      <c r="D1147" t="s">
        <v>4</v>
      </c>
    </row>
    <row r="1148" spans="1:4" outlineLevel="1" x14ac:dyDescent="0.25">
      <c r="A1148" t="s">
        <v>175</v>
      </c>
      <c r="B1148" t="s">
        <v>16</v>
      </c>
      <c r="C1148" s="1" t="str">
        <f>HYPERLINK("http://продеталь.рф/search.html?article=185518052","185518052")</f>
        <v>185518052</v>
      </c>
      <c r="D1148" t="s">
        <v>4</v>
      </c>
    </row>
    <row r="1149" spans="1:4" outlineLevel="1" x14ac:dyDescent="0.25">
      <c r="A1149" t="s">
        <v>175</v>
      </c>
      <c r="B1149" t="s">
        <v>16</v>
      </c>
      <c r="C1149" s="1" t="str">
        <f>HYPERLINK("http://продеталь.рф/search.html?article=185517052","185517052")</f>
        <v>185517052</v>
      </c>
      <c r="D1149" t="s">
        <v>4</v>
      </c>
    </row>
    <row r="1150" spans="1:4" x14ac:dyDescent="0.25">
      <c r="A1150" t="s">
        <v>177</v>
      </c>
      <c r="B1150" s="2" t="s">
        <v>177</v>
      </c>
      <c r="C1150" s="2"/>
      <c r="D1150" s="2"/>
    </row>
    <row r="1151" spans="1:4" outlineLevel="1" x14ac:dyDescent="0.25">
      <c r="A1151" t="s">
        <v>177</v>
      </c>
      <c r="B1151" t="s">
        <v>11</v>
      </c>
      <c r="C1151" s="1" t="str">
        <f>HYPERLINK("http://продеталь.рф/search.html?article=021452","021452")</f>
        <v>021452</v>
      </c>
      <c r="D1151" t="s">
        <v>163</v>
      </c>
    </row>
    <row r="1152" spans="1:4" outlineLevel="1" x14ac:dyDescent="0.25">
      <c r="A1152" t="s">
        <v>177</v>
      </c>
      <c r="B1152" t="s">
        <v>178</v>
      </c>
      <c r="C1152" s="1" t="str">
        <f>HYPERLINK("http://продеталь.рф/search.html?article=2092001","2092001")</f>
        <v>2092001</v>
      </c>
      <c r="D1152" t="s">
        <v>46</v>
      </c>
    </row>
    <row r="1153" spans="1:4" outlineLevel="1" x14ac:dyDescent="0.25">
      <c r="A1153" t="s">
        <v>177</v>
      </c>
      <c r="B1153" t="s">
        <v>178</v>
      </c>
      <c r="C1153" s="1" t="str">
        <f>HYPERLINK("http://продеталь.рф/search.html?article=2092002","2092002")</f>
        <v>2092002</v>
      </c>
      <c r="D1153" t="s">
        <v>46</v>
      </c>
    </row>
    <row r="1154" spans="1:4" outlineLevel="1" x14ac:dyDescent="0.25">
      <c r="A1154" t="s">
        <v>177</v>
      </c>
      <c r="B1154" t="s">
        <v>15</v>
      </c>
      <c r="C1154" s="1" t="str">
        <f>HYPERLINK("http://продеталь.рф/search.html?article=3050025","3050025")</f>
        <v>3050025</v>
      </c>
      <c r="D1154" t="s">
        <v>4</v>
      </c>
    </row>
    <row r="1155" spans="1:4" outlineLevel="1" x14ac:dyDescent="0.25">
      <c r="A1155" t="s">
        <v>177</v>
      </c>
      <c r="B1155" t="s">
        <v>23</v>
      </c>
      <c r="C1155" s="1" t="str">
        <f>HYPERLINK("http://продеталь.рф/search.html?article=110778012","110778012")</f>
        <v>110778012</v>
      </c>
      <c r="D1155" t="s">
        <v>4</v>
      </c>
    </row>
    <row r="1156" spans="1:4" outlineLevel="1" x14ac:dyDescent="0.25">
      <c r="A1156" t="s">
        <v>177</v>
      </c>
      <c r="B1156" t="s">
        <v>23</v>
      </c>
      <c r="C1156" s="1" t="str">
        <f>HYPERLINK("http://продеталь.рф/search.html?article=110777012","110777012")</f>
        <v>110777012</v>
      </c>
      <c r="D1156" t="s">
        <v>4</v>
      </c>
    </row>
    <row r="1157" spans="1:4" outlineLevel="1" x14ac:dyDescent="0.25">
      <c r="A1157" t="s">
        <v>177</v>
      </c>
      <c r="B1157" t="s">
        <v>77</v>
      </c>
      <c r="C1157" s="1" t="str">
        <f>HYPERLINK("http://продеталь.рф/search.html?article=RI96889","RI96889")</f>
        <v>RI96889</v>
      </c>
      <c r="D1157" t="s">
        <v>6</v>
      </c>
    </row>
    <row r="1158" spans="1:4" outlineLevel="1" x14ac:dyDescent="0.25">
      <c r="A1158" t="s">
        <v>177</v>
      </c>
      <c r="B1158" t="s">
        <v>1</v>
      </c>
      <c r="C1158" s="1" t="str">
        <f>HYPERLINK("http://продеталь.рф/search.html?article=PG710150","PG710150")</f>
        <v>PG710150</v>
      </c>
      <c r="D1158" t="s">
        <v>9</v>
      </c>
    </row>
    <row r="1159" spans="1:4" outlineLevel="1" x14ac:dyDescent="0.25">
      <c r="A1159" t="s">
        <v>177</v>
      </c>
      <c r="B1159" t="s">
        <v>24</v>
      </c>
      <c r="C1159" s="1" t="str">
        <f>HYPERLINK("http://продеталь.рф/search.html?article=FT760162","FT760162")</f>
        <v>FT760162</v>
      </c>
      <c r="D1159" t="s">
        <v>9</v>
      </c>
    </row>
    <row r="1160" spans="1:4" outlineLevel="1" x14ac:dyDescent="0.25">
      <c r="A1160" t="s">
        <v>177</v>
      </c>
      <c r="B1160" t="s">
        <v>24</v>
      </c>
      <c r="C1160" s="1" t="str">
        <f>HYPERLINK("http://продеталь.рф/search.html?article=FT760161","FT760161")</f>
        <v>FT760161</v>
      </c>
      <c r="D1160" t="s">
        <v>9</v>
      </c>
    </row>
    <row r="1161" spans="1:4" outlineLevel="1" x14ac:dyDescent="0.25">
      <c r="A1161" t="s">
        <v>177</v>
      </c>
      <c r="B1161" t="s">
        <v>24</v>
      </c>
      <c r="C1161" s="1" t="str">
        <f>HYPERLINK("http://продеталь.рф/search.html?article=FT76016A2","FT76016A2")</f>
        <v>FT76016A2</v>
      </c>
      <c r="D1161" t="s">
        <v>9</v>
      </c>
    </row>
    <row r="1162" spans="1:4" outlineLevel="1" x14ac:dyDescent="0.25">
      <c r="A1162" t="s">
        <v>177</v>
      </c>
      <c r="B1162" t="s">
        <v>24</v>
      </c>
      <c r="C1162" s="1" t="str">
        <f>HYPERLINK("http://продеталь.рф/search.html?article=FT76016A1","FT76016A1")</f>
        <v>FT76016A1</v>
      </c>
      <c r="D1162" t="s">
        <v>9</v>
      </c>
    </row>
    <row r="1163" spans="1:4" outlineLevel="1" x14ac:dyDescent="0.25">
      <c r="A1163" t="s">
        <v>177</v>
      </c>
      <c r="B1163" t="s">
        <v>179</v>
      </c>
      <c r="C1163" s="1" t="str">
        <f>HYPERLINK("http://продеталь.рф/search.html?article=2092531","2092531")</f>
        <v>2092531</v>
      </c>
      <c r="D1163" t="s">
        <v>46</v>
      </c>
    </row>
    <row r="1164" spans="1:4" outlineLevel="1" x14ac:dyDescent="0.25">
      <c r="A1164" t="s">
        <v>177</v>
      </c>
      <c r="B1164" t="s">
        <v>179</v>
      </c>
      <c r="C1164" s="1" t="str">
        <f>HYPERLINK("http://продеталь.рф/search.html?article=2092532","2092532")</f>
        <v>2092532</v>
      </c>
      <c r="D1164" t="s">
        <v>46</v>
      </c>
    </row>
    <row r="1165" spans="1:4" outlineLevel="1" x14ac:dyDescent="0.25">
      <c r="A1165" t="s">
        <v>177</v>
      </c>
      <c r="B1165" t="s">
        <v>27</v>
      </c>
      <c r="C1165" s="1" t="str">
        <f>HYPERLINK("http://продеталь.рф/search.html?article=FT76009A0","FT76009A0")</f>
        <v>FT76009A0</v>
      </c>
      <c r="D1165" t="s">
        <v>9</v>
      </c>
    </row>
    <row r="1166" spans="1:4" outlineLevel="1" x14ac:dyDescent="0.25">
      <c r="A1166" t="s">
        <v>177</v>
      </c>
      <c r="B1166" t="s">
        <v>3</v>
      </c>
      <c r="C1166" s="1" t="str">
        <f>HYPERLINK("http://продеталь.рф/search.html?article=200678052","200678052")</f>
        <v>200678052</v>
      </c>
      <c r="D1166" t="s">
        <v>4</v>
      </c>
    </row>
    <row r="1167" spans="1:4" outlineLevel="1" x14ac:dyDescent="0.25">
      <c r="A1167" t="s">
        <v>177</v>
      </c>
      <c r="B1167" t="s">
        <v>3</v>
      </c>
      <c r="C1167" s="1" t="str">
        <f>HYPERLINK("http://продеталь.рф/search.html?article=200677052","200677052")</f>
        <v>200677052</v>
      </c>
      <c r="D1167" t="s">
        <v>4</v>
      </c>
    </row>
    <row r="1168" spans="1:4" outlineLevel="1" x14ac:dyDescent="0.25">
      <c r="A1168" t="s">
        <v>177</v>
      </c>
      <c r="B1168" t="s">
        <v>180</v>
      </c>
      <c r="C1168" s="1" t="str">
        <f>HYPERLINK("http://продеталь.рф/search.html?article=2092331","2092331")</f>
        <v>2092331</v>
      </c>
      <c r="D1168" t="s">
        <v>46</v>
      </c>
    </row>
    <row r="1169" spans="1:4" outlineLevel="1" x14ac:dyDescent="0.25">
      <c r="A1169" t="s">
        <v>177</v>
      </c>
      <c r="B1169" t="s">
        <v>5</v>
      </c>
      <c r="C1169" s="1" t="str">
        <f>HYPERLINK("http://продеталь.рф/search.html?article=210475","210475")</f>
        <v>210475</v>
      </c>
      <c r="D1169" t="s">
        <v>21</v>
      </c>
    </row>
    <row r="1170" spans="1:4" outlineLevel="1" x14ac:dyDescent="0.25">
      <c r="A1170" t="s">
        <v>177</v>
      </c>
      <c r="B1170" t="s">
        <v>5</v>
      </c>
      <c r="C1170" s="1" t="str">
        <f>HYPERLINK("http://продеталь.рф/search.html?article=210476","210476")</f>
        <v>210476</v>
      </c>
      <c r="D1170" t="s">
        <v>21</v>
      </c>
    </row>
    <row r="1171" spans="1:4" outlineLevel="1" x14ac:dyDescent="0.25">
      <c r="A1171" t="s">
        <v>177</v>
      </c>
      <c r="B1171" t="s">
        <v>19</v>
      </c>
      <c r="C1171" s="1" t="str">
        <f>HYPERLINK("http://продеталь.рф/search.html?article=190401052","190401052")</f>
        <v>190401052</v>
      </c>
      <c r="D1171" t="s">
        <v>4</v>
      </c>
    </row>
    <row r="1172" spans="1:4" outlineLevel="1" x14ac:dyDescent="0.25">
      <c r="A1172" t="s">
        <v>177</v>
      </c>
      <c r="B1172" t="s">
        <v>28</v>
      </c>
      <c r="C1172" s="1" t="str">
        <f>HYPERLINK("http://продеталь.рф/search.html?article=RA61390","RA61390")</f>
        <v>RA61390</v>
      </c>
      <c r="D1172" t="s">
        <v>6</v>
      </c>
    </row>
    <row r="1173" spans="1:4" outlineLevel="1" x14ac:dyDescent="0.25">
      <c r="A1173" t="s">
        <v>177</v>
      </c>
      <c r="B1173" t="s">
        <v>12</v>
      </c>
      <c r="C1173" s="1" t="str">
        <f>HYPERLINK("http://продеталь.рф/search.html?article=FT07026GAN","FT07026GAN")</f>
        <v>FT07026GAN</v>
      </c>
      <c r="D1173" t="s">
        <v>2</v>
      </c>
    </row>
    <row r="1174" spans="1:4" outlineLevel="1" x14ac:dyDescent="0.25">
      <c r="A1174" t="s">
        <v>177</v>
      </c>
      <c r="B1174" t="s">
        <v>181</v>
      </c>
      <c r="C1174" s="1" t="str">
        <f>HYPERLINK("http://продеталь.рф/search.html?article=FIA07DU010","FIA07DU010")</f>
        <v>FIA07DU010</v>
      </c>
      <c r="D1174" t="s">
        <v>182</v>
      </c>
    </row>
    <row r="1175" spans="1:4" outlineLevel="1" x14ac:dyDescent="0.25">
      <c r="A1175" t="s">
        <v>177</v>
      </c>
      <c r="B1175" t="s">
        <v>16</v>
      </c>
      <c r="C1175" s="1" t="str">
        <f>HYPERLINK("http://продеталь.рф/search.html?article=185618052","185618052")</f>
        <v>185618052</v>
      </c>
      <c r="D1175" t="s">
        <v>4</v>
      </c>
    </row>
    <row r="1176" spans="1:4" x14ac:dyDescent="0.25">
      <c r="A1176" t="s">
        <v>183</v>
      </c>
      <c r="B1176" s="2" t="s">
        <v>183</v>
      </c>
      <c r="C1176" s="2"/>
      <c r="D1176" s="2"/>
    </row>
    <row r="1177" spans="1:4" outlineLevel="1" x14ac:dyDescent="0.25">
      <c r="A1177" t="s">
        <v>183</v>
      </c>
      <c r="B1177" t="s">
        <v>184</v>
      </c>
      <c r="C1177" s="1" t="str">
        <f>HYPERLINK("http://продеталь.рф/search.html?article=021462","021462")</f>
        <v>021462</v>
      </c>
      <c r="D1177" t="s">
        <v>163</v>
      </c>
    </row>
    <row r="1178" spans="1:4" outlineLevel="1" x14ac:dyDescent="0.25">
      <c r="A1178" t="s">
        <v>183</v>
      </c>
      <c r="B1178" t="s">
        <v>35</v>
      </c>
      <c r="C1178" s="1" t="str">
        <f>HYPERLINK("http://продеталь.рф/search.html?article=310318","310318")</f>
        <v>310318</v>
      </c>
      <c r="D1178" t="s">
        <v>21</v>
      </c>
    </row>
    <row r="1179" spans="1:4" outlineLevel="1" x14ac:dyDescent="0.25">
      <c r="A1179" t="s">
        <v>183</v>
      </c>
      <c r="B1179" t="s">
        <v>35</v>
      </c>
      <c r="C1179" s="1" t="str">
        <f>HYPERLINK("http://продеталь.рф/search.html?article=310317","310317")</f>
        <v>310317</v>
      </c>
      <c r="D1179" t="s">
        <v>21</v>
      </c>
    </row>
    <row r="1180" spans="1:4" outlineLevel="1" x14ac:dyDescent="0.25">
      <c r="A1180" t="s">
        <v>183</v>
      </c>
      <c r="B1180" t="s">
        <v>35</v>
      </c>
      <c r="C1180" s="1" t="str">
        <f>HYPERLINK("http://продеталь.рф/search.html?article=310319","310319")</f>
        <v>310319</v>
      </c>
      <c r="D1180" t="s">
        <v>21</v>
      </c>
    </row>
    <row r="1181" spans="1:4" outlineLevel="1" x14ac:dyDescent="0.25">
      <c r="A1181" t="s">
        <v>183</v>
      </c>
      <c r="B1181" t="s">
        <v>24</v>
      </c>
      <c r="C1181" s="1" t="str">
        <f>HYPERLINK("http://продеталь.рф/search.html?article=PFT10037AL","PFT10037AL")</f>
        <v>PFT10037AL</v>
      </c>
      <c r="D1181" t="s">
        <v>6</v>
      </c>
    </row>
    <row r="1182" spans="1:4" outlineLevel="1" x14ac:dyDescent="0.25">
      <c r="A1182" t="s">
        <v>183</v>
      </c>
      <c r="B1182" t="s">
        <v>66</v>
      </c>
      <c r="C1182" s="1" t="str">
        <f>HYPERLINK("http://продеталь.рф/search.html?article=BK036","BK036")</f>
        <v>BK036</v>
      </c>
      <c r="D1182" t="s">
        <v>6</v>
      </c>
    </row>
    <row r="1183" spans="1:4" outlineLevel="1" x14ac:dyDescent="0.25">
      <c r="A1183" t="s">
        <v>183</v>
      </c>
      <c r="B1183" t="s">
        <v>185</v>
      </c>
      <c r="C1183" s="1" t="str">
        <f>HYPERLINK("http://продеталь.рф/search.html?article=FT76120601L00","FT76120601L00")</f>
        <v>FT76120601L00</v>
      </c>
      <c r="D1183" t="s">
        <v>9</v>
      </c>
    </row>
    <row r="1184" spans="1:4" outlineLevel="1" x14ac:dyDescent="0.25">
      <c r="A1184" t="s">
        <v>183</v>
      </c>
      <c r="B1184" t="s">
        <v>185</v>
      </c>
      <c r="C1184" s="1" t="str">
        <f>HYPERLINK("http://продеталь.рф/search.html?article=FT76120601R00","FT76120601R00")</f>
        <v>FT76120601R00</v>
      </c>
      <c r="D1184" t="s">
        <v>9</v>
      </c>
    </row>
    <row r="1185" spans="1:4" outlineLevel="1" x14ac:dyDescent="0.25">
      <c r="A1185" t="s">
        <v>183</v>
      </c>
      <c r="B1185" t="s">
        <v>3</v>
      </c>
      <c r="C1185" s="1" t="str">
        <f>HYPERLINK("http://продеталь.рф/search.html?article=20B333052B","20B333052B")</f>
        <v>20B333052B</v>
      </c>
      <c r="D1185" t="s">
        <v>4</v>
      </c>
    </row>
    <row r="1186" spans="1:4" outlineLevel="1" x14ac:dyDescent="0.25">
      <c r="A1186" t="s">
        <v>183</v>
      </c>
      <c r="B1186" t="s">
        <v>5</v>
      </c>
      <c r="C1186" s="1" t="str">
        <f>HYPERLINK("http://продеталь.рф/search.html?article=210491","210491")</f>
        <v>210491</v>
      </c>
      <c r="D1186" t="s">
        <v>21</v>
      </c>
    </row>
    <row r="1187" spans="1:4" outlineLevel="1" x14ac:dyDescent="0.25">
      <c r="A1187" t="s">
        <v>183</v>
      </c>
      <c r="B1187" t="s">
        <v>5</v>
      </c>
      <c r="C1187" s="1" t="str">
        <f>HYPERLINK("http://продеталь.рф/search.html?article=210492","210492")</f>
        <v>210492</v>
      </c>
      <c r="D1187" t="s">
        <v>21</v>
      </c>
    </row>
    <row r="1188" spans="1:4" outlineLevel="1" x14ac:dyDescent="0.25">
      <c r="A1188" t="s">
        <v>183</v>
      </c>
      <c r="B1188" t="s">
        <v>28</v>
      </c>
      <c r="C1188" s="1" t="str">
        <f>HYPERLINK("http://продеталь.рф/search.html?article=RA63555A","RA63555A")</f>
        <v>RA63555A</v>
      </c>
      <c r="D1188" t="s">
        <v>6</v>
      </c>
    </row>
    <row r="1189" spans="1:4" outlineLevel="1" x14ac:dyDescent="0.25">
      <c r="A1189" t="s">
        <v>183</v>
      </c>
      <c r="B1189" t="s">
        <v>40</v>
      </c>
      <c r="C1189" s="1" t="str">
        <f>HYPERLINK("http://продеталь.рф/search.html?article=011460","011460")</f>
        <v>011460</v>
      </c>
      <c r="D1189" t="s">
        <v>163</v>
      </c>
    </row>
    <row r="1190" spans="1:4" outlineLevel="1" x14ac:dyDescent="0.25">
      <c r="A1190" t="s">
        <v>183</v>
      </c>
      <c r="B1190" t="s">
        <v>32</v>
      </c>
      <c r="C1190" s="1" t="str">
        <f>HYPERLINK("http://продеталь.рф/search.html?article=FTM1026CGLE","FTM1026CGLE")</f>
        <v>FTM1026CGLE</v>
      </c>
      <c r="D1190" t="s">
        <v>2</v>
      </c>
    </row>
    <row r="1191" spans="1:4" outlineLevel="1" x14ac:dyDescent="0.25">
      <c r="A1191" t="s">
        <v>183</v>
      </c>
      <c r="B1191" t="s">
        <v>32</v>
      </c>
      <c r="C1191" s="1" t="str">
        <f>HYPERLINK("http://продеталь.рф/search.html?article=SFTM1026DGLE","SFTM1026DGLE")</f>
        <v>SFTM1026DGLE</v>
      </c>
      <c r="D1191" t="s">
        <v>6</v>
      </c>
    </row>
    <row r="1192" spans="1:4" outlineLevel="1" x14ac:dyDescent="0.25">
      <c r="A1192" t="s">
        <v>183</v>
      </c>
      <c r="B1192" t="s">
        <v>32</v>
      </c>
      <c r="C1192" s="1" t="str">
        <f>HYPERLINK("http://продеталь.рф/search.html?article=SFTM1026DGRE","SFTM1026DGRE")</f>
        <v>SFTM1026DGRE</v>
      </c>
      <c r="D1192" t="s">
        <v>6</v>
      </c>
    </row>
    <row r="1193" spans="1:4" outlineLevel="1" x14ac:dyDescent="0.25">
      <c r="A1193" t="s">
        <v>183</v>
      </c>
      <c r="B1193" t="s">
        <v>13</v>
      </c>
      <c r="C1193" s="1" t="str">
        <f>HYPERLINK("http://продеталь.рф/search.html?article=PFT44023A","PFT44023A")</f>
        <v>PFT44023A</v>
      </c>
      <c r="D1193" t="s">
        <v>6</v>
      </c>
    </row>
    <row r="1194" spans="1:4" x14ac:dyDescent="0.25">
      <c r="A1194" t="s">
        <v>186</v>
      </c>
      <c r="B1194" s="2" t="s">
        <v>186</v>
      </c>
      <c r="C1194" s="2"/>
      <c r="D1194" s="2"/>
    </row>
    <row r="1195" spans="1:4" outlineLevel="1" x14ac:dyDescent="0.25">
      <c r="A1195" t="s">
        <v>186</v>
      </c>
      <c r="B1195" t="s">
        <v>12</v>
      </c>
      <c r="C1195" s="1" t="str">
        <f>HYPERLINK("http://продеталь.рф/search.html?article=CT07010GA","CT07010GA")</f>
        <v>CT07010GA</v>
      </c>
      <c r="D1195" t="s">
        <v>2</v>
      </c>
    </row>
    <row r="1196" spans="1:4" x14ac:dyDescent="0.25">
      <c r="A1196" t="s">
        <v>187</v>
      </c>
      <c r="B1196" s="2" t="s">
        <v>187</v>
      </c>
      <c r="C1196" s="2"/>
      <c r="D1196" s="2"/>
    </row>
    <row r="1197" spans="1:4" outlineLevel="1" x14ac:dyDescent="0.25">
      <c r="A1197" t="s">
        <v>187</v>
      </c>
      <c r="B1197" t="s">
        <v>74</v>
      </c>
      <c r="C1197" s="1" t="str">
        <f>HYPERLINK("http://продеталь.рф/search.html?article=RDCT210040","RDCT210040")</f>
        <v>RDCT210040</v>
      </c>
      <c r="D1197" t="s">
        <v>6</v>
      </c>
    </row>
    <row r="1198" spans="1:4" outlineLevel="1" x14ac:dyDescent="0.25">
      <c r="A1198" t="s">
        <v>187</v>
      </c>
      <c r="B1198" t="s">
        <v>74</v>
      </c>
      <c r="C1198" s="1" t="str">
        <f>HYPERLINK("http://продеталь.рф/search.html?article=RDCT21004S0","RDCT21004S0")</f>
        <v>RDCT21004S0</v>
      </c>
      <c r="D1198" t="s">
        <v>6</v>
      </c>
    </row>
    <row r="1199" spans="1:4" outlineLevel="1" x14ac:dyDescent="0.25">
      <c r="A1199" t="s">
        <v>187</v>
      </c>
      <c r="B1199" t="s">
        <v>188</v>
      </c>
      <c r="C1199" s="1" t="str">
        <f>HYPERLINK("http://продеталь.рф/search.html?article=SCT1113L","SCT1113L")</f>
        <v>SCT1113L</v>
      </c>
      <c r="D1199" t="s">
        <v>4</v>
      </c>
    </row>
    <row r="1200" spans="1:4" outlineLevel="1" x14ac:dyDescent="0.25">
      <c r="A1200" t="s">
        <v>187</v>
      </c>
      <c r="B1200" t="s">
        <v>189</v>
      </c>
      <c r="C1200" s="1" t="str">
        <f>HYPERLINK("http://продеталь.рф/search.html?article=SCT1113R","SCT1113R")</f>
        <v>SCT1113R</v>
      </c>
      <c r="D1200" t="s">
        <v>4</v>
      </c>
    </row>
    <row r="1201" spans="1:4" outlineLevel="1" x14ac:dyDescent="0.25">
      <c r="A1201" t="s">
        <v>187</v>
      </c>
      <c r="B1201" t="s">
        <v>16</v>
      </c>
      <c r="C1201" s="1" t="str">
        <f>HYPERLINK("http://продеталь.рф/search.html?article=183581052","183581052")</f>
        <v>183581052</v>
      </c>
      <c r="D1201" t="s">
        <v>4</v>
      </c>
    </row>
    <row r="1202" spans="1:4" x14ac:dyDescent="0.25">
      <c r="A1202" t="s">
        <v>190</v>
      </c>
      <c r="B1202" s="2" t="s">
        <v>190</v>
      </c>
      <c r="C1202" s="2"/>
      <c r="D1202" s="2"/>
    </row>
    <row r="1203" spans="1:4" outlineLevel="1" x14ac:dyDescent="0.25">
      <c r="A1203" t="s">
        <v>190</v>
      </c>
      <c r="B1203" t="s">
        <v>27</v>
      </c>
      <c r="C1203" s="1" t="str">
        <f>HYPERLINK("http://продеталь.рф/search.html?article=CT160090","CT160090")</f>
        <v>CT160090</v>
      </c>
      <c r="D1203" t="s">
        <v>9</v>
      </c>
    </row>
    <row r="1204" spans="1:4" x14ac:dyDescent="0.25">
      <c r="A1204" t="s">
        <v>191</v>
      </c>
      <c r="B1204" s="2" t="s">
        <v>191</v>
      </c>
      <c r="C1204" s="2"/>
      <c r="D1204" s="2"/>
    </row>
    <row r="1205" spans="1:4" outlineLevel="1" x14ac:dyDescent="0.25">
      <c r="A1205" t="s">
        <v>191</v>
      </c>
      <c r="B1205" t="s">
        <v>24</v>
      </c>
      <c r="C1205" s="1" t="str">
        <f>HYPERLINK("http://продеталь.рф/search.html?article=16122004090","16122004090")</f>
        <v>16122004090</v>
      </c>
      <c r="D1205" t="s">
        <v>49</v>
      </c>
    </row>
    <row r="1206" spans="1:4" outlineLevel="1" x14ac:dyDescent="0.25">
      <c r="A1206" t="s">
        <v>191</v>
      </c>
      <c r="B1206" t="s">
        <v>66</v>
      </c>
      <c r="C1206" s="1" t="str">
        <f>HYPERLINK("http://продеталь.рф/search.html?article=BK024","BK024")</f>
        <v>BK024</v>
      </c>
      <c r="D1206" t="s">
        <v>6</v>
      </c>
    </row>
    <row r="1207" spans="1:4" outlineLevel="1" x14ac:dyDescent="0.25">
      <c r="A1207" t="s">
        <v>191</v>
      </c>
      <c r="B1207" t="s">
        <v>3</v>
      </c>
      <c r="C1207" s="1" t="str">
        <f>HYPERLINK("http://продеталь.рф/search.html?article=206257052","206257052")</f>
        <v>206257052</v>
      </c>
      <c r="D1207" t="s">
        <v>4</v>
      </c>
    </row>
    <row r="1208" spans="1:4" outlineLevel="1" x14ac:dyDescent="0.25">
      <c r="A1208" t="s">
        <v>191</v>
      </c>
      <c r="B1208" t="s">
        <v>5</v>
      </c>
      <c r="C1208" s="1" t="str">
        <f>HYPERLINK("http://продеталь.рф/search.html?article=212805","212805")</f>
        <v>212805</v>
      </c>
      <c r="D1208" t="s">
        <v>21</v>
      </c>
    </row>
    <row r="1209" spans="1:4" x14ac:dyDescent="0.25">
      <c r="A1209" t="s">
        <v>192</v>
      </c>
      <c r="B1209" s="2" t="s">
        <v>192</v>
      </c>
      <c r="C1209" s="2"/>
      <c r="D1209" s="2"/>
    </row>
    <row r="1210" spans="1:4" outlineLevel="1" x14ac:dyDescent="0.25">
      <c r="A1210" t="s">
        <v>192</v>
      </c>
      <c r="B1210" t="s">
        <v>11</v>
      </c>
      <c r="C1210" s="1" t="str">
        <f>HYPERLINK("http://продеталь.рф/search.html?article=051074","051074")</f>
        <v>051074</v>
      </c>
      <c r="D1210" t="s">
        <v>165</v>
      </c>
    </row>
    <row r="1211" spans="1:4" outlineLevel="1" x14ac:dyDescent="0.25">
      <c r="A1211" t="s">
        <v>192</v>
      </c>
      <c r="B1211" t="s">
        <v>11</v>
      </c>
      <c r="C1211" s="1" t="str">
        <f>HYPERLINK("http://продеталь.рф/search.html?article=XS14","XS14")</f>
        <v>XS14</v>
      </c>
      <c r="D1211" t="s">
        <v>18</v>
      </c>
    </row>
    <row r="1212" spans="1:4" outlineLevel="1" x14ac:dyDescent="0.25">
      <c r="A1212" t="s">
        <v>192</v>
      </c>
      <c r="B1212" t="s">
        <v>24</v>
      </c>
      <c r="C1212" s="1" t="str">
        <f>HYPERLINK("http://продеталь.рф/search.html?article=07150111","07150111")</f>
        <v>07150111</v>
      </c>
      <c r="D1212" t="s">
        <v>47</v>
      </c>
    </row>
    <row r="1213" spans="1:4" outlineLevel="1" x14ac:dyDescent="0.25">
      <c r="A1213" t="s">
        <v>192</v>
      </c>
      <c r="B1213" t="s">
        <v>24</v>
      </c>
      <c r="C1213" s="1" t="str">
        <f>HYPERLINK("http://продеталь.рф/search.html?article=CT10014AL","CT10014AL")</f>
        <v>CT10014AL</v>
      </c>
      <c r="D1213" t="s">
        <v>2</v>
      </c>
    </row>
    <row r="1214" spans="1:4" outlineLevel="1" x14ac:dyDescent="0.25">
      <c r="A1214" t="s">
        <v>192</v>
      </c>
      <c r="B1214" t="s">
        <v>24</v>
      </c>
      <c r="C1214" s="1" t="str">
        <f>HYPERLINK("http://продеталь.рф/search.html?article=07150112","07150112")</f>
        <v>07150112</v>
      </c>
      <c r="D1214" t="s">
        <v>47</v>
      </c>
    </row>
    <row r="1215" spans="1:4" outlineLevel="1" x14ac:dyDescent="0.25">
      <c r="A1215" t="s">
        <v>192</v>
      </c>
      <c r="B1215" t="s">
        <v>5</v>
      </c>
      <c r="C1215" s="1" t="str">
        <f>HYPERLINK("http://продеталь.рф/search.html?article=212809","212809")</f>
        <v>212809</v>
      </c>
      <c r="D1215" t="s">
        <v>21</v>
      </c>
    </row>
    <row r="1216" spans="1:4" outlineLevel="1" x14ac:dyDescent="0.25">
      <c r="A1216" t="s">
        <v>192</v>
      </c>
      <c r="B1216" t="s">
        <v>5</v>
      </c>
      <c r="C1216" s="1" t="str">
        <f>HYPERLINK("http://продеталь.рф/search.html?article=212810","212810")</f>
        <v>212810</v>
      </c>
      <c r="D1216" t="s">
        <v>21</v>
      </c>
    </row>
    <row r="1217" spans="1:4" x14ac:dyDescent="0.25">
      <c r="A1217" t="s">
        <v>193</v>
      </c>
      <c r="B1217" s="2" t="s">
        <v>193</v>
      </c>
      <c r="C1217" s="2"/>
      <c r="D1217" s="2"/>
    </row>
    <row r="1218" spans="1:4" outlineLevel="1" x14ac:dyDescent="0.25">
      <c r="A1218" t="s">
        <v>193</v>
      </c>
      <c r="B1218" t="s">
        <v>15</v>
      </c>
      <c r="C1218" s="1" t="str">
        <f>HYPERLINK("http://продеталь.рф/search.html?article=3050068","3050068")</f>
        <v>3050068</v>
      </c>
      <c r="D1218" t="s">
        <v>4</v>
      </c>
    </row>
    <row r="1219" spans="1:4" outlineLevel="1" x14ac:dyDescent="0.25">
      <c r="A1219" t="s">
        <v>193</v>
      </c>
      <c r="B1219" t="s">
        <v>16</v>
      </c>
      <c r="C1219" s="1" t="str">
        <f>HYPERLINK("http://продеталь.рф/search.html?article=181967052","181967052")</f>
        <v>181967052</v>
      </c>
      <c r="D1219" t="s">
        <v>4</v>
      </c>
    </row>
    <row r="1220" spans="1:4" outlineLevel="1" x14ac:dyDescent="0.25">
      <c r="A1220" t="s">
        <v>193</v>
      </c>
      <c r="B1220" t="s">
        <v>16</v>
      </c>
      <c r="C1220" s="1" t="str">
        <f>HYPERLINK("http://продеталь.рф/search.html?article=181966052","181966052")</f>
        <v>181966052</v>
      </c>
      <c r="D1220" t="s">
        <v>4</v>
      </c>
    </row>
    <row r="1221" spans="1:4" x14ac:dyDescent="0.25">
      <c r="A1221" t="s">
        <v>194</v>
      </c>
      <c r="B1221" s="2" t="s">
        <v>194</v>
      </c>
      <c r="C1221" s="2"/>
      <c r="D1221" s="2"/>
    </row>
    <row r="1222" spans="1:4" outlineLevel="1" x14ac:dyDescent="0.25">
      <c r="A1222" t="s">
        <v>194</v>
      </c>
      <c r="B1222" t="s">
        <v>16</v>
      </c>
      <c r="C1222" s="1" t="str">
        <f>HYPERLINK("http://продеталь.рф/search.html?article=ZDW1503LK","ZDW1503LK")</f>
        <v>ZDW1503LK</v>
      </c>
      <c r="D1222" t="s">
        <v>6</v>
      </c>
    </row>
    <row r="1223" spans="1:4" x14ac:dyDescent="0.25">
      <c r="A1223" t="s">
        <v>195</v>
      </c>
      <c r="B1223" s="2" t="s">
        <v>195</v>
      </c>
      <c r="C1223" s="2"/>
      <c r="D1223" s="2"/>
    </row>
    <row r="1224" spans="1:4" outlineLevel="1" x14ac:dyDescent="0.25">
      <c r="A1224" t="s">
        <v>195</v>
      </c>
      <c r="B1224" t="s">
        <v>11</v>
      </c>
      <c r="C1224" s="1" t="str">
        <f>HYPERLINK("http://продеталь.рф/search.html?article=PDW04012KGA","PDW04012KGA")</f>
        <v>PDW04012KGA</v>
      </c>
      <c r="D1224" t="s">
        <v>6</v>
      </c>
    </row>
    <row r="1225" spans="1:4" outlineLevel="1" x14ac:dyDescent="0.25">
      <c r="A1225" t="s">
        <v>195</v>
      </c>
      <c r="B1225" t="s">
        <v>15</v>
      </c>
      <c r="C1225" s="1" t="str">
        <f>HYPERLINK("http://продеталь.рф/search.html?article=VDWM1002MR","VDWM1002MR")</f>
        <v>VDWM1002MR</v>
      </c>
      <c r="D1225" t="s">
        <v>6</v>
      </c>
    </row>
    <row r="1226" spans="1:4" outlineLevel="1" x14ac:dyDescent="0.25">
      <c r="A1226" t="s">
        <v>195</v>
      </c>
      <c r="B1226" t="s">
        <v>159</v>
      </c>
      <c r="C1226" s="1" t="str">
        <f>HYPERLINK("http://продеталь.рф/search.html?article=DW61002A","DW61002A")</f>
        <v>DW61002A</v>
      </c>
      <c r="D1226" t="s">
        <v>2</v>
      </c>
    </row>
    <row r="1227" spans="1:4" outlineLevel="1" x14ac:dyDescent="0.25">
      <c r="A1227" t="s">
        <v>195</v>
      </c>
      <c r="B1227" t="s">
        <v>79</v>
      </c>
      <c r="C1227" s="1" t="str">
        <f>HYPERLINK("http://продеталь.рф/search.html?article=DW35000400000","DW35000400000")</f>
        <v>DW35000400000</v>
      </c>
      <c r="D1227" t="s">
        <v>9</v>
      </c>
    </row>
    <row r="1228" spans="1:4" outlineLevel="1" x14ac:dyDescent="0.25">
      <c r="A1228" t="s">
        <v>195</v>
      </c>
      <c r="B1228" t="s">
        <v>23</v>
      </c>
      <c r="C1228" s="1" t="str">
        <f>HYPERLINK("http://продеталь.рф/search.html?article=ZDW1916L","ZDW1916L")</f>
        <v>ZDW1916L</v>
      </c>
      <c r="D1228" t="s">
        <v>6</v>
      </c>
    </row>
    <row r="1229" spans="1:4" outlineLevel="1" x14ac:dyDescent="0.25">
      <c r="A1229" t="s">
        <v>195</v>
      </c>
      <c r="B1229" t="s">
        <v>24</v>
      </c>
      <c r="C1229" s="1" t="str">
        <f>HYPERLINK("http://продеталь.рф/search.html?article=DW10002AR","DW10002AR")</f>
        <v>DW10002AR</v>
      </c>
      <c r="D1229" t="s">
        <v>2</v>
      </c>
    </row>
    <row r="1230" spans="1:4" outlineLevel="1" x14ac:dyDescent="0.25">
      <c r="A1230" t="s">
        <v>195</v>
      </c>
      <c r="B1230" t="s">
        <v>50</v>
      </c>
      <c r="C1230" s="1" t="str">
        <f>HYPERLINK("http://продеталь.рф/search.html?article=PDW07007HL","PDW07007HL")</f>
        <v>PDW07007HL</v>
      </c>
      <c r="D1230" t="s">
        <v>6</v>
      </c>
    </row>
    <row r="1231" spans="1:4" outlineLevel="1" x14ac:dyDescent="0.25">
      <c r="A1231" t="s">
        <v>195</v>
      </c>
      <c r="B1231" t="s">
        <v>5</v>
      </c>
      <c r="C1231" s="1" t="str">
        <f>HYPERLINK("http://продеталь.рф/search.html?article=DW11002AL","DW11002AL")</f>
        <v>DW11002AL</v>
      </c>
      <c r="D1231" t="s">
        <v>2</v>
      </c>
    </row>
    <row r="1232" spans="1:4" outlineLevel="1" x14ac:dyDescent="0.25">
      <c r="A1232" t="s">
        <v>195</v>
      </c>
      <c r="B1232" t="s">
        <v>5</v>
      </c>
      <c r="C1232" s="1" t="str">
        <f>HYPERLINK("http://продеталь.рф/search.html?article=DW11002AR","DW11002AR")</f>
        <v>DW11002AR</v>
      </c>
      <c r="D1232" t="s">
        <v>2</v>
      </c>
    </row>
    <row r="1233" spans="1:4" outlineLevel="1" x14ac:dyDescent="0.25">
      <c r="A1233" t="s">
        <v>195</v>
      </c>
      <c r="B1233" t="s">
        <v>28</v>
      </c>
      <c r="C1233" s="1" t="str">
        <f>HYPERLINK("http://продеталь.рф/search.html?article=RA61654","RA61654")</f>
        <v>RA61654</v>
      </c>
      <c r="D1233" t="s">
        <v>6</v>
      </c>
    </row>
    <row r="1234" spans="1:4" outlineLevel="1" x14ac:dyDescent="0.25">
      <c r="A1234" t="s">
        <v>195</v>
      </c>
      <c r="B1234" t="s">
        <v>28</v>
      </c>
      <c r="C1234" s="1" t="str">
        <f>HYPERLINK("http://продеталь.рф/search.html?article=RA61655","RA61655")</f>
        <v>RA61655</v>
      </c>
      <c r="D1234" t="s">
        <v>6</v>
      </c>
    </row>
    <row r="1235" spans="1:4" outlineLevel="1" x14ac:dyDescent="0.25">
      <c r="A1235" t="s">
        <v>195</v>
      </c>
      <c r="B1235" t="s">
        <v>12</v>
      </c>
      <c r="C1235" s="1" t="str">
        <f>HYPERLINK("http://продеталь.рф/search.html?article=PDW07002GAB","PDW07002GAB")</f>
        <v>PDW07002GAB</v>
      </c>
      <c r="D1235" t="s">
        <v>6</v>
      </c>
    </row>
    <row r="1236" spans="1:4" x14ac:dyDescent="0.25">
      <c r="A1236" t="s">
        <v>196</v>
      </c>
      <c r="B1236" s="2" t="s">
        <v>196</v>
      </c>
      <c r="C1236" s="2"/>
      <c r="D1236" s="2"/>
    </row>
    <row r="1237" spans="1:4" outlineLevel="1" x14ac:dyDescent="0.25">
      <c r="A1237" t="s">
        <v>196</v>
      </c>
      <c r="B1237" t="s">
        <v>79</v>
      </c>
      <c r="C1237" s="1" t="str">
        <f>HYPERLINK("http://продеталь.рф/search.html?article=RDDW400040","RDDW400040")</f>
        <v>RDDW400040</v>
      </c>
      <c r="D1237" t="s">
        <v>6</v>
      </c>
    </row>
    <row r="1238" spans="1:4" x14ac:dyDescent="0.25">
      <c r="A1238" t="s">
        <v>197</v>
      </c>
      <c r="B1238" s="2" t="s">
        <v>197</v>
      </c>
      <c r="C1238" s="2"/>
      <c r="D1238" s="2"/>
    </row>
    <row r="1239" spans="1:4" outlineLevel="1" x14ac:dyDescent="0.25">
      <c r="A1239" t="s">
        <v>197</v>
      </c>
      <c r="B1239" t="s">
        <v>15</v>
      </c>
      <c r="C1239" s="1" t="str">
        <f>HYPERLINK("http://продеталь.рф/search.html?article=3060002","3060002")</f>
        <v>3060002</v>
      </c>
      <c r="D1239" t="s">
        <v>4</v>
      </c>
    </row>
    <row r="1240" spans="1:4" outlineLevel="1" x14ac:dyDescent="0.25">
      <c r="A1240" t="s">
        <v>197</v>
      </c>
      <c r="B1240" t="s">
        <v>19</v>
      </c>
      <c r="C1240" s="1" t="str">
        <f>HYPERLINK("http://продеталь.рф/search.html?article=ZDW2006R","ZDW2006R")</f>
        <v>ZDW2006R</v>
      </c>
      <c r="D1240" t="s">
        <v>6</v>
      </c>
    </row>
    <row r="1241" spans="1:4" x14ac:dyDescent="0.25">
      <c r="A1241" t="s">
        <v>198</v>
      </c>
      <c r="B1241" s="2" t="s">
        <v>198</v>
      </c>
      <c r="C1241" s="2"/>
      <c r="D1241" s="2"/>
    </row>
    <row r="1242" spans="1:4" outlineLevel="1" x14ac:dyDescent="0.25">
      <c r="A1242" t="s">
        <v>198</v>
      </c>
      <c r="B1242" t="s">
        <v>79</v>
      </c>
      <c r="C1242" s="1" t="str">
        <f>HYPERLINK("http://продеталь.рф/search.html?article=DW10004A0","DW10004A0")</f>
        <v>DW10004A0</v>
      </c>
      <c r="D1242" t="s">
        <v>9</v>
      </c>
    </row>
    <row r="1243" spans="1:4" outlineLevel="1" x14ac:dyDescent="0.25">
      <c r="A1243" t="s">
        <v>198</v>
      </c>
      <c r="B1243" t="s">
        <v>23</v>
      </c>
      <c r="C1243" s="1" t="str">
        <f>HYPERLINK("http://продеталь.рф/search.html?article=ZDW1917KL","ZDW1917KL")</f>
        <v>ZDW1917KL</v>
      </c>
      <c r="D1243" t="s">
        <v>6</v>
      </c>
    </row>
    <row r="1244" spans="1:4" outlineLevel="1" x14ac:dyDescent="0.25">
      <c r="A1244" t="s">
        <v>198</v>
      </c>
      <c r="B1244" t="s">
        <v>3</v>
      </c>
      <c r="C1244" s="1" t="str">
        <f>HYPERLINK("http://продеталь.рф/search.html?article=ZDW1120L","ZDW1120L")</f>
        <v>ZDW1120L</v>
      </c>
      <c r="D1244" t="s">
        <v>6</v>
      </c>
    </row>
    <row r="1245" spans="1:4" outlineLevel="1" x14ac:dyDescent="0.25">
      <c r="A1245" t="s">
        <v>198</v>
      </c>
      <c r="B1245" t="s">
        <v>3</v>
      </c>
      <c r="C1245" s="1" t="str">
        <f>HYPERLINK("http://продеталь.рф/search.html?article=ZDW1120R","ZDW1120R")</f>
        <v>ZDW1120R</v>
      </c>
      <c r="D1245" t="s">
        <v>6</v>
      </c>
    </row>
    <row r="1246" spans="1:4" outlineLevel="1" x14ac:dyDescent="0.25">
      <c r="A1246" t="s">
        <v>198</v>
      </c>
      <c r="B1246" t="s">
        <v>19</v>
      </c>
      <c r="C1246" s="1" t="str">
        <f>HYPERLINK("http://продеталь.рф/search.html?article=ZDW2011L","ZDW2011L")</f>
        <v>ZDW2011L</v>
      </c>
      <c r="D1246" t="s">
        <v>6</v>
      </c>
    </row>
    <row r="1247" spans="1:4" outlineLevel="1" x14ac:dyDescent="0.25">
      <c r="A1247" t="s">
        <v>198</v>
      </c>
      <c r="B1247" t="s">
        <v>8</v>
      </c>
      <c r="C1247" s="1" t="str">
        <f>HYPERLINK("http://продеталь.рф/search.html?article=RC94751","RC94751")</f>
        <v>RC94751</v>
      </c>
      <c r="D1247" t="s">
        <v>6</v>
      </c>
    </row>
    <row r="1248" spans="1:4" outlineLevel="1" x14ac:dyDescent="0.25">
      <c r="A1248" t="s">
        <v>198</v>
      </c>
      <c r="B1248" t="s">
        <v>12</v>
      </c>
      <c r="C1248" s="1" t="str">
        <f>HYPERLINK("http://продеталь.рф/search.html?article=DW10001101000","DW10001101000")</f>
        <v>DW10001101000</v>
      </c>
      <c r="D1248" t="s">
        <v>9</v>
      </c>
    </row>
    <row r="1249" spans="1:4" x14ac:dyDescent="0.25">
      <c r="A1249" t="s">
        <v>199</v>
      </c>
      <c r="B1249" s="2" t="s">
        <v>199</v>
      </c>
      <c r="C1249" s="2"/>
      <c r="D1249" s="2"/>
    </row>
    <row r="1250" spans="1:4" outlineLevel="1" x14ac:dyDescent="0.25">
      <c r="A1250" t="s">
        <v>199</v>
      </c>
      <c r="B1250" t="s">
        <v>11</v>
      </c>
      <c r="C1250" s="1" t="str">
        <f>HYPERLINK("http://продеталь.рф/search.html?article=PDW04011KGA","PDW04011KGA")</f>
        <v>PDW04011KGA</v>
      </c>
      <c r="D1250" t="s">
        <v>6</v>
      </c>
    </row>
    <row r="1251" spans="1:4" outlineLevel="1" x14ac:dyDescent="0.25">
      <c r="A1251" t="s">
        <v>199</v>
      </c>
      <c r="B1251" t="s">
        <v>23</v>
      </c>
      <c r="C1251" s="1" t="str">
        <f>HYPERLINK("http://продеталь.рф/search.html?article=DW252502","DW252502")</f>
        <v>DW252502</v>
      </c>
      <c r="D1251" t="s">
        <v>9</v>
      </c>
    </row>
    <row r="1252" spans="1:4" outlineLevel="1" x14ac:dyDescent="0.25">
      <c r="A1252" t="s">
        <v>199</v>
      </c>
      <c r="B1252" t="s">
        <v>23</v>
      </c>
      <c r="C1252" s="1" t="str">
        <f>HYPERLINK("http://продеталь.рф/search.html?article=DW252501","DW252501")</f>
        <v>DW252501</v>
      </c>
      <c r="D1252" t="s">
        <v>9</v>
      </c>
    </row>
    <row r="1253" spans="1:4" outlineLevel="1" x14ac:dyDescent="0.25">
      <c r="A1253" t="s">
        <v>199</v>
      </c>
      <c r="B1253" t="s">
        <v>23</v>
      </c>
      <c r="C1253" s="1" t="str">
        <f>HYPERLINK("http://продеталь.рф/search.html?article=DW25250A2","DW25250A2")</f>
        <v>DW25250A2</v>
      </c>
      <c r="D1253" t="s">
        <v>9</v>
      </c>
    </row>
    <row r="1254" spans="1:4" outlineLevel="1" x14ac:dyDescent="0.25">
      <c r="A1254" t="s">
        <v>199</v>
      </c>
      <c r="B1254" t="s">
        <v>23</v>
      </c>
      <c r="C1254" s="1" t="str">
        <f>HYPERLINK("http://продеталь.рф/search.html?article=DW25250A1","DW25250A1")</f>
        <v>DW25250A1</v>
      </c>
      <c r="D1254" t="s">
        <v>9</v>
      </c>
    </row>
    <row r="1255" spans="1:4" outlineLevel="1" x14ac:dyDescent="0.25">
      <c r="A1255" t="s">
        <v>199</v>
      </c>
      <c r="B1255" t="s">
        <v>24</v>
      </c>
      <c r="C1255" s="1" t="str">
        <f>HYPERLINK("http://продеталь.рф/search.html?article=DW10001AL","DW10001AL")</f>
        <v>DW10001AL</v>
      </c>
      <c r="D1255" t="s">
        <v>99</v>
      </c>
    </row>
    <row r="1256" spans="1:4" outlineLevel="1" x14ac:dyDescent="0.25">
      <c r="A1256" t="s">
        <v>199</v>
      </c>
      <c r="B1256" t="s">
        <v>3</v>
      </c>
      <c r="C1256" s="1" t="str">
        <f>HYPERLINK("http://продеталь.рф/search.html?article=ZDW1103R","ZDW1103R")</f>
        <v>ZDW1103R</v>
      </c>
      <c r="D1256" t="s">
        <v>6</v>
      </c>
    </row>
    <row r="1257" spans="1:4" outlineLevel="1" x14ac:dyDescent="0.25">
      <c r="A1257" t="s">
        <v>199</v>
      </c>
      <c r="B1257" t="s">
        <v>3</v>
      </c>
      <c r="C1257" s="1" t="str">
        <f>HYPERLINK("http://продеталь.рф/search.html?article=ZDW1103KEL","ZDW1103KEL")</f>
        <v>ZDW1103KEL</v>
      </c>
      <c r="D1257" t="s">
        <v>6</v>
      </c>
    </row>
    <row r="1258" spans="1:4" outlineLevel="1" x14ac:dyDescent="0.25">
      <c r="A1258" t="s">
        <v>199</v>
      </c>
      <c r="B1258" t="s">
        <v>3</v>
      </c>
      <c r="C1258" s="1" t="str">
        <f>HYPERLINK("http://продеталь.рф/search.html?article=ZDW1103KER","ZDW1103KER")</f>
        <v>ZDW1103KER</v>
      </c>
      <c r="D1258" t="s">
        <v>6</v>
      </c>
    </row>
    <row r="1259" spans="1:4" outlineLevel="1" x14ac:dyDescent="0.25">
      <c r="A1259" t="s">
        <v>199</v>
      </c>
      <c r="B1259" t="s">
        <v>5</v>
      </c>
      <c r="C1259" s="1" t="str">
        <f>HYPERLINK("http://продеталь.рф/search.html?article=PDW11001AL","PDW11001AL")</f>
        <v>PDW11001AL</v>
      </c>
      <c r="D1259" t="s">
        <v>6</v>
      </c>
    </row>
    <row r="1260" spans="1:4" outlineLevel="1" x14ac:dyDescent="0.25">
      <c r="A1260" t="s">
        <v>199</v>
      </c>
      <c r="B1260" t="s">
        <v>5</v>
      </c>
      <c r="C1260" s="1" t="str">
        <f>HYPERLINK("http://продеталь.рф/search.html?article=PDW11001AR","PDW11001AR")</f>
        <v>PDW11001AR</v>
      </c>
      <c r="D1260" t="s">
        <v>6</v>
      </c>
    </row>
    <row r="1261" spans="1:4" outlineLevel="1" x14ac:dyDescent="0.25">
      <c r="A1261" t="s">
        <v>199</v>
      </c>
      <c r="B1261" t="s">
        <v>19</v>
      </c>
      <c r="C1261" s="1" t="str">
        <f>HYPERLINK("http://продеталь.рф/search.html?article=ZDW2002R","ZDW2002R")</f>
        <v>ZDW2002R</v>
      </c>
      <c r="D1261" t="s">
        <v>6</v>
      </c>
    </row>
    <row r="1262" spans="1:4" outlineLevel="1" x14ac:dyDescent="0.25">
      <c r="A1262" t="s">
        <v>199</v>
      </c>
      <c r="B1262" t="s">
        <v>28</v>
      </c>
      <c r="C1262" s="1" t="str">
        <f>HYPERLINK("http://продеталь.рф/search.html?article=RA61652A","RA61652A")</f>
        <v>RA61652A</v>
      </c>
      <c r="D1262" t="s">
        <v>6</v>
      </c>
    </row>
    <row r="1263" spans="1:4" outlineLevel="1" x14ac:dyDescent="0.25">
      <c r="A1263" t="s">
        <v>199</v>
      </c>
      <c r="B1263" t="s">
        <v>28</v>
      </c>
      <c r="C1263" s="1" t="str">
        <f>HYPERLINK("http://продеталь.рф/search.html?article=RA61651A","RA61651A")</f>
        <v>RA61651A</v>
      </c>
      <c r="D1263" t="s">
        <v>6</v>
      </c>
    </row>
    <row r="1264" spans="1:4" outlineLevel="1" x14ac:dyDescent="0.25">
      <c r="A1264" t="s">
        <v>199</v>
      </c>
      <c r="B1264" t="s">
        <v>12</v>
      </c>
      <c r="C1264" s="1" t="str">
        <f>HYPERLINK("http://продеталь.рф/search.html?article=DW250930","DW250930")</f>
        <v>DW250930</v>
      </c>
      <c r="D1264" t="s">
        <v>9</v>
      </c>
    </row>
    <row r="1265" spans="1:4" outlineLevel="1" x14ac:dyDescent="0.25">
      <c r="A1265" t="s">
        <v>199</v>
      </c>
      <c r="B1265" t="s">
        <v>12</v>
      </c>
      <c r="C1265" s="1" t="str">
        <f>HYPERLINK("http://продеталь.рф/search.html?article=DW07001GD","DW07001GD")</f>
        <v>DW07001GD</v>
      </c>
      <c r="D1265" t="s">
        <v>2</v>
      </c>
    </row>
    <row r="1266" spans="1:4" outlineLevel="1" x14ac:dyDescent="0.25">
      <c r="A1266" t="s">
        <v>199</v>
      </c>
      <c r="B1266" t="s">
        <v>118</v>
      </c>
      <c r="C1266" s="1" t="str">
        <f>HYPERLINK("http://продеталь.рф/search.html?article=SDW2002R","SDW2002R")</f>
        <v>SDW2002R</v>
      </c>
      <c r="D1266" t="s">
        <v>63</v>
      </c>
    </row>
    <row r="1267" spans="1:4" outlineLevel="1" x14ac:dyDescent="0.25">
      <c r="A1267" t="s">
        <v>199</v>
      </c>
      <c r="B1267" t="s">
        <v>13</v>
      </c>
      <c r="C1267" s="1" t="str">
        <f>HYPERLINK("http://продеталь.рф/search.html?article=PDW44006A","PDW44006A")</f>
        <v>PDW44006A</v>
      </c>
      <c r="D1267" t="s">
        <v>6</v>
      </c>
    </row>
    <row r="1268" spans="1:4" x14ac:dyDescent="0.25">
      <c r="A1268" t="s">
        <v>200</v>
      </c>
      <c r="B1268" s="2" t="s">
        <v>200</v>
      </c>
      <c r="C1268" s="2"/>
      <c r="D1268" s="2"/>
    </row>
    <row r="1269" spans="1:4" outlineLevel="1" x14ac:dyDescent="0.25">
      <c r="A1269" t="s">
        <v>200</v>
      </c>
      <c r="B1269" t="s">
        <v>24</v>
      </c>
      <c r="C1269" s="1" t="str">
        <f>HYPERLINK("http://продеталь.рф/search.html?article=DW10005BL","DW10005BL")</f>
        <v>DW10005BL</v>
      </c>
      <c r="D1269" t="s">
        <v>2</v>
      </c>
    </row>
    <row r="1270" spans="1:4" x14ac:dyDescent="0.25">
      <c r="A1270" t="s">
        <v>201</v>
      </c>
      <c r="B1270" s="2" t="s">
        <v>201</v>
      </c>
      <c r="C1270" s="2"/>
      <c r="D1270" s="2"/>
    </row>
    <row r="1271" spans="1:4" outlineLevel="1" x14ac:dyDescent="0.25">
      <c r="A1271" t="s">
        <v>201</v>
      </c>
      <c r="B1271" t="s">
        <v>11</v>
      </c>
      <c r="C1271" s="1" t="str">
        <f>HYPERLINK("http://продеталь.рф/search.html?article=DG04091BB","DG04091BB")</f>
        <v>DG04091BB</v>
      </c>
      <c r="D1271" t="s">
        <v>2</v>
      </c>
    </row>
    <row r="1272" spans="1:4" outlineLevel="1" x14ac:dyDescent="0.25">
      <c r="A1272" t="s">
        <v>201</v>
      </c>
      <c r="B1272" t="s">
        <v>1</v>
      </c>
      <c r="C1272" s="1" t="str">
        <f>HYPERLINK("http://продеталь.рф/search.html?article=PDG20052B","PDG20052B")</f>
        <v>PDG20052B</v>
      </c>
      <c r="D1272" t="s">
        <v>6</v>
      </c>
    </row>
    <row r="1273" spans="1:4" outlineLevel="1" x14ac:dyDescent="0.25">
      <c r="A1273" t="s">
        <v>201</v>
      </c>
      <c r="B1273" t="s">
        <v>24</v>
      </c>
      <c r="C1273" s="1" t="str">
        <f>HYPERLINK("http://продеталь.рф/search.html?article=DG46101600L00","DG46101600L00")</f>
        <v>DG46101600L00</v>
      </c>
      <c r="D1273" t="s">
        <v>9</v>
      </c>
    </row>
    <row r="1274" spans="1:4" outlineLevel="1" x14ac:dyDescent="0.25">
      <c r="A1274" t="s">
        <v>201</v>
      </c>
      <c r="B1274" t="s">
        <v>24</v>
      </c>
      <c r="C1274" s="1" t="str">
        <f>HYPERLINK("http://продеталь.рф/search.html?article=DG46101600R00","DG46101600R00")</f>
        <v>DG46101600R00</v>
      </c>
      <c r="D1274" t="s">
        <v>9</v>
      </c>
    </row>
    <row r="1275" spans="1:4" outlineLevel="1" x14ac:dyDescent="0.25">
      <c r="A1275" t="s">
        <v>201</v>
      </c>
      <c r="B1275" t="s">
        <v>27</v>
      </c>
      <c r="C1275" s="1" t="str">
        <f>HYPERLINK("http://продеталь.рф/search.html?article=DG03003A","DG03003A")</f>
        <v>DG03003A</v>
      </c>
      <c r="D1275" t="s">
        <v>2</v>
      </c>
    </row>
    <row r="1276" spans="1:4" x14ac:dyDescent="0.25">
      <c r="A1276" t="s">
        <v>202</v>
      </c>
      <c r="B1276" s="2" t="s">
        <v>202</v>
      </c>
      <c r="C1276" s="2"/>
      <c r="D1276" s="2"/>
    </row>
    <row r="1277" spans="1:4" outlineLevel="1" x14ac:dyDescent="0.25">
      <c r="A1277" t="s">
        <v>202</v>
      </c>
      <c r="B1277" t="s">
        <v>11</v>
      </c>
      <c r="C1277" s="1" t="str">
        <f>HYPERLINK("http://продеталь.рф/search.html?article=DG03000000000","DG03000000000")</f>
        <v>DG03000000000</v>
      </c>
      <c r="D1277" t="s">
        <v>9</v>
      </c>
    </row>
    <row r="1278" spans="1:4" outlineLevel="1" x14ac:dyDescent="0.25">
      <c r="A1278" t="s">
        <v>202</v>
      </c>
      <c r="B1278" t="s">
        <v>11</v>
      </c>
      <c r="C1278" s="1" t="str">
        <f>HYPERLINK("http://продеталь.рф/search.html?article=DG04092BA","DG04092BA")</f>
        <v>DG04092BA</v>
      </c>
      <c r="D1278" t="s">
        <v>2</v>
      </c>
    </row>
    <row r="1279" spans="1:4" outlineLevel="1" x14ac:dyDescent="0.25">
      <c r="A1279" t="s">
        <v>202</v>
      </c>
      <c r="B1279" t="s">
        <v>15</v>
      </c>
      <c r="C1279" s="1" t="str">
        <f>HYPERLINK("http://продеталь.рф/search.html?article=DGM1028AR","DGM1028AR")</f>
        <v>DGM1028AR</v>
      </c>
      <c r="D1279" t="s">
        <v>2</v>
      </c>
    </row>
    <row r="1280" spans="1:4" outlineLevel="1" x14ac:dyDescent="0.25">
      <c r="A1280" t="s">
        <v>202</v>
      </c>
      <c r="B1280" t="s">
        <v>15</v>
      </c>
      <c r="C1280" s="1" t="str">
        <f>HYPERLINK("http://продеталь.рф/search.html?article=DGM1028BL","DGM1028BL")</f>
        <v>DGM1028BL</v>
      </c>
      <c r="D1280" t="s">
        <v>2</v>
      </c>
    </row>
    <row r="1281" spans="1:4" outlineLevel="1" x14ac:dyDescent="0.25">
      <c r="A1281" t="s">
        <v>202</v>
      </c>
      <c r="B1281" t="s">
        <v>15</v>
      </c>
      <c r="C1281" s="1" t="str">
        <f>HYPERLINK("http://продеталь.рф/search.html?article=DGM1028BR","DGM1028BR")</f>
        <v>DGM1028BR</v>
      </c>
      <c r="D1281" t="s">
        <v>2</v>
      </c>
    </row>
    <row r="1282" spans="1:4" outlineLevel="1" x14ac:dyDescent="0.25">
      <c r="A1282" t="s">
        <v>202</v>
      </c>
      <c r="B1282" t="s">
        <v>79</v>
      </c>
      <c r="C1282" s="1" t="str">
        <f>HYPERLINK("http://продеталь.рф/search.html?article=CR66005AAS","CR66005AAS")</f>
        <v>CR66005AAS</v>
      </c>
      <c r="D1282" t="s">
        <v>2</v>
      </c>
    </row>
    <row r="1283" spans="1:4" outlineLevel="1" x14ac:dyDescent="0.25">
      <c r="A1283" t="s">
        <v>202</v>
      </c>
      <c r="B1283" t="s">
        <v>74</v>
      </c>
      <c r="C1283" s="1" t="str">
        <f>HYPERLINK("http://продеталь.рф/search.html?article=682DGA009","682DGA009")</f>
        <v>682DGA009</v>
      </c>
      <c r="D1283" t="s">
        <v>4</v>
      </c>
    </row>
    <row r="1284" spans="1:4" outlineLevel="1" x14ac:dyDescent="0.25">
      <c r="A1284" t="s">
        <v>202</v>
      </c>
      <c r="B1284" t="s">
        <v>23</v>
      </c>
      <c r="C1284" s="1" t="str">
        <f>HYPERLINK("http://продеталь.рф/search.html?article=116204001A","116204001A")</f>
        <v>116204001A</v>
      </c>
      <c r="D1284" t="s">
        <v>4</v>
      </c>
    </row>
    <row r="1285" spans="1:4" outlineLevel="1" x14ac:dyDescent="0.25">
      <c r="A1285" t="s">
        <v>202</v>
      </c>
      <c r="B1285" t="s">
        <v>23</v>
      </c>
      <c r="C1285" s="1" t="str">
        <f>HYPERLINK("http://продеталь.рф/search.html?article=116203001A","116203001A")</f>
        <v>116203001A</v>
      </c>
      <c r="D1285" t="s">
        <v>4</v>
      </c>
    </row>
    <row r="1286" spans="1:4" outlineLevel="1" x14ac:dyDescent="0.25">
      <c r="A1286" t="s">
        <v>202</v>
      </c>
      <c r="B1286" t="s">
        <v>1</v>
      </c>
      <c r="C1286" s="1" t="str">
        <f>HYPERLINK("http://продеталь.рф/search.html?article=PCR20050A","PCR20050A")</f>
        <v>PCR20050A</v>
      </c>
      <c r="D1286" t="s">
        <v>6</v>
      </c>
    </row>
    <row r="1287" spans="1:4" outlineLevel="1" x14ac:dyDescent="0.25">
      <c r="A1287" t="s">
        <v>202</v>
      </c>
      <c r="B1287" t="s">
        <v>24</v>
      </c>
      <c r="C1287" s="1" t="str">
        <f>HYPERLINK("http://продеталь.рф/search.html?article=DG030161","DG030161")</f>
        <v>DG030161</v>
      </c>
      <c r="D1287" t="s">
        <v>9</v>
      </c>
    </row>
    <row r="1288" spans="1:4" outlineLevel="1" x14ac:dyDescent="0.25">
      <c r="A1288" t="s">
        <v>202</v>
      </c>
      <c r="B1288" t="s">
        <v>24</v>
      </c>
      <c r="C1288" s="1" t="str">
        <f>HYPERLINK("http://продеталь.рф/search.html?article=DG030162","DG030162")</f>
        <v>DG030162</v>
      </c>
      <c r="D1288" t="s">
        <v>9</v>
      </c>
    </row>
    <row r="1289" spans="1:4" outlineLevel="1" x14ac:dyDescent="0.25">
      <c r="A1289" t="s">
        <v>202</v>
      </c>
      <c r="B1289" t="s">
        <v>66</v>
      </c>
      <c r="C1289" s="1" t="str">
        <f>HYPERLINK("http://продеталь.рф/search.html?article=BK114","BK114")</f>
        <v>BK114</v>
      </c>
      <c r="D1289" t="s">
        <v>6</v>
      </c>
    </row>
    <row r="1290" spans="1:4" outlineLevel="1" x14ac:dyDescent="0.25">
      <c r="A1290" t="s">
        <v>202</v>
      </c>
      <c r="B1290" t="s">
        <v>3</v>
      </c>
      <c r="C1290" s="1" t="str">
        <f>HYPERLINK("http://продеталь.рф/search.html?article=20678800","20678800")</f>
        <v>20678800</v>
      </c>
      <c r="D1290" t="s">
        <v>4</v>
      </c>
    </row>
    <row r="1291" spans="1:4" outlineLevel="1" x14ac:dyDescent="0.25">
      <c r="A1291" t="s">
        <v>202</v>
      </c>
      <c r="B1291" t="s">
        <v>3</v>
      </c>
      <c r="C1291" s="1" t="str">
        <f>HYPERLINK("http://продеталь.рф/search.html?article=20678700","20678700")</f>
        <v>20678700</v>
      </c>
      <c r="D1291" t="s">
        <v>4</v>
      </c>
    </row>
    <row r="1292" spans="1:4" outlineLevel="1" x14ac:dyDescent="0.25">
      <c r="A1292" t="s">
        <v>202</v>
      </c>
      <c r="B1292" t="s">
        <v>5</v>
      </c>
      <c r="C1292" s="1" t="str">
        <f>HYPERLINK("http://продеталь.рф/search.html?article=PCR11053AR","PCR11053AR")</f>
        <v>PCR11053AR</v>
      </c>
      <c r="D1292" t="s">
        <v>6</v>
      </c>
    </row>
    <row r="1293" spans="1:4" outlineLevel="1" x14ac:dyDescent="0.25">
      <c r="A1293" t="s">
        <v>202</v>
      </c>
      <c r="B1293" t="s">
        <v>28</v>
      </c>
      <c r="C1293" s="1" t="str">
        <f>HYPERLINK("http://продеталь.рф/search.html?article=RA295161019","RA295161019")</f>
        <v>RA295161019</v>
      </c>
      <c r="D1293" t="s">
        <v>6</v>
      </c>
    </row>
    <row r="1294" spans="1:4" outlineLevel="1" x14ac:dyDescent="0.25">
      <c r="A1294" t="s">
        <v>202</v>
      </c>
      <c r="B1294" t="s">
        <v>8</v>
      </c>
      <c r="C1294" s="1" t="str">
        <f>HYPERLINK("http://продеталь.рф/search.html?article=606DG2011","606DG2011")</f>
        <v>606DG2011</v>
      </c>
      <c r="D1294" t="s">
        <v>4</v>
      </c>
    </row>
    <row r="1295" spans="1:4" outlineLevel="1" x14ac:dyDescent="0.25">
      <c r="A1295" t="s">
        <v>202</v>
      </c>
      <c r="B1295" t="s">
        <v>12</v>
      </c>
      <c r="C1295" s="1" t="str">
        <f>HYPERLINK("http://продеталь.рф/search.html?article=DG07056GA","DG07056GA")</f>
        <v>DG07056GA</v>
      </c>
      <c r="D1295" t="s">
        <v>2</v>
      </c>
    </row>
    <row r="1296" spans="1:4" x14ac:dyDescent="0.25">
      <c r="A1296" t="s">
        <v>203</v>
      </c>
      <c r="B1296" s="2" t="s">
        <v>203</v>
      </c>
      <c r="C1296" s="2"/>
      <c r="D1296" s="2"/>
    </row>
    <row r="1297" spans="1:4" outlineLevel="1" x14ac:dyDescent="0.25">
      <c r="A1297" t="s">
        <v>203</v>
      </c>
      <c r="B1297" t="s">
        <v>11</v>
      </c>
      <c r="C1297" s="1" t="str">
        <f>HYPERLINK("http://продеталь.рф/search.html?article=DG04027BB","DG04027BB")</f>
        <v>DG04027BB</v>
      </c>
      <c r="D1297" t="s">
        <v>2</v>
      </c>
    </row>
    <row r="1298" spans="1:4" outlineLevel="1" x14ac:dyDescent="0.25">
      <c r="A1298" t="s">
        <v>203</v>
      </c>
      <c r="B1298" t="s">
        <v>15</v>
      </c>
      <c r="C1298" s="1" t="str">
        <f>HYPERLINK("http://продеталь.рф/search.html?article=CRM1005AR","CRM1005AR")</f>
        <v>CRM1005AR</v>
      </c>
      <c r="D1298" t="s">
        <v>2</v>
      </c>
    </row>
    <row r="1299" spans="1:4" outlineLevel="1" x14ac:dyDescent="0.25">
      <c r="A1299" t="s">
        <v>203</v>
      </c>
      <c r="B1299" t="s">
        <v>15</v>
      </c>
      <c r="C1299" s="1" t="str">
        <f>HYPERLINK("http://продеталь.рф/search.html?article=CRM1005AL","CRM1005AL")</f>
        <v>CRM1005AL</v>
      </c>
      <c r="D1299" t="s">
        <v>2</v>
      </c>
    </row>
    <row r="1300" spans="1:4" outlineLevel="1" x14ac:dyDescent="0.25">
      <c r="A1300" t="s">
        <v>203</v>
      </c>
      <c r="B1300" t="s">
        <v>24</v>
      </c>
      <c r="C1300" s="1" t="str">
        <f>HYPERLINK("http://продеталь.рф/search.html?article=DG10042AL","DG10042AL")</f>
        <v>DG10042AL</v>
      </c>
      <c r="D1300" t="s">
        <v>2</v>
      </c>
    </row>
    <row r="1301" spans="1:4" outlineLevel="1" x14ac:dyDescent="0.25">
      <c r="A1301" t="s">
        <v>203</v>
      </c>
      <c r="B1301" t="s">
        <v>5</v>
      </c>
      <c r="C1301" s="1" t="str">
        <f>HYPERLINK("http://продеталь.рф/search.html?article=DG43016L2","DG43016L2")</f>
        <v>DG43016L2</v>
      </c>
      <c r="D1301" t="s">
        <v>9</v>
      </c>
    </row>
    <row r="1302" spans="1:4" outlineLevel="1" x14ac:dyDescent="0.25">
      <c r="A1302" t="s">
        <v>203</v>
      </c>
      <c r="B1302" t="s">
        <v>5</v>
      </c>
      <c r="C1302" s="1" t="str">
        <f>HYPERLINK("http://продеталь.рф/search.html?article=DG43016L1","DG43016L1")</f>
        <v>DG43016L1</v>
      </c>
      <c r="D1302" t="s">
        <v>9</v>
      </c>
    </row>
    <row r="1303" spans="1:4" x14ac:dyDescent="0.25">
      <c r="A1303" t="s">
        <v>204</v>
      </c>
      <c r="B1303" s="2" t="s">
        <v>204</v>
      </c>
      <c r="C1303" s="2"/>
      <c r="D1303" s="2"/>
    </row>
    <row r="1304" spans="1:4" outlineLevel="1" x14ac:dyDescent="0.25">
      <c r="A1304" t="s">
        <v>204</v>
      </c>
      <c r="B1304" t="s">
        <v>205</v>
      </c>
      <c r="C1304" s="1" t="str">
        <f>HYPERLINK("http://продеталь.рф/search.html?article=DGB2014B","DGB2014B")</f>
        <v>DGB2014B</v>
      </c>
      <c r="D1304" t="s">
        <v>2</v>
      </c>
    </row>
    <row r="1305" spans="1:4" outlineLevel="1" x14ac:dyDescent="0.25">
      <c r="A1305" t="s">
        <v>204</v>
      </c>
      <c r="B1305" t="s">
        <v>24</v>
      </c>
      <c r="C1305" s="1" t="str">
        <f>HYPERLINK("http://продеталь.рф/search.html?article=PDG10061L","PDG10061L")</f>
        <v>PDG10061L</v>
      </c>
      <c r="D1305" t="s">
        <v>6</v>
      </c>
    </row>
    <row r="1306" spans="1:4" outlineLevel="1" x14ac:dyDescent="0.25">
      <c r="A1306" t="s">
        <v>204</v>
      </c>
      <c r="B1306" t="s">
        <v>3</v>
      </c>
      <c r="C1306" s="1" t="str">
        <f>HYPERLINK("http://продеталь.рф/search.html?article=209077056B","209077056B")</f>
        <v>209077056B</v>
      </c>
      <c r="D1306" t="s">
        <v>4</v>
      </c>
    </row>
    <row r="1307" spans="1:4" outlineLevel="1" x14ac:dyDescent="0.25">
      <c r="A1307" t="s">
        <v>204</v>
      </c>
      <c r="B1307" t="s">
        <v>3</v>
      </c>
      <c r="C1307" s="1" t="str">
        <f>HYPERLINK("http://продеталь.рф/search.html?article=209078056B","209078056B")</f>
        <v>209078056B</v>
      </c>
      <c r="D1307" t="s">
        <v>4</v>
      </c>
    </row>
    <row r="1308" spans="1:4" outlineLevel="1" x14ac:dyDescent="0.25">
      <c r="A1308" t="s">
        <v>204</v>
      </c>
      <c r="B1308" t="s">
        <v>5</v>
      </c>
      <c r="C1308" s="1" t="str">
        <f>HYPERLINK("http://продеталь.рф/search.html?article=PDG11061L","PDG11061L")</f>
        <v>PDG11061L</v>
      </c>
      <c r="D1308" t="s">
        <v>6</v>
      </c>
    </row>
    <row r="1309" spans="1:4" outlineLevel="1" x14ac:dyDescent="0.25">
      <c r="A1309" t="s">
        <v>204</v>
      </c>
      <c r="B1309" t="s">
        <v>5</v>
      </c>
      <c r="C1309" s="1" t="str">
        <f>HYPERLINK("http://продеталь.рф/search.html?article=PDG11061R","PDG11061R")</f>
        <v>PDG11061R</v>
      </c>
      <c r="D1309" t="s">
        <v>6</v>
      </c>
    </row>
    <row r="1310" spans="1:4" outlineLevel="1" x14ac:dyDescent="0.25">
      <c r="A1310" t="s">
        <v>204</v>
      </c>
      <c r="B1310" t="s">
        <v>40</v>
      </c>
      <c r="C1310" s="1" t="str">
        <f>HYPERLINK("http://продеталь.рф/search.html?article=PDG99049L","PDG99049L")</f>
        <v>PDG99049L</v>
      </c>
      <c r="D1310" t="s">
        <v>6</v>
      </c>
    </row>
    <row r="1311" spans="1:4" x14ac:dyDescent="0.25">
      <c r="A1311" t="s">
        <v>206</v>
      </c>
      <c r="B1311" s="2" t="s">
        <v>206</v>
      </c>
      <c r="C1311" s="2"/>
      <c r="D1311" s="2"/>
    </row>
    <row r="1312" spans="1:4" outlineLevel="1" x14ac:dyDescent="0.25">
      <c r="A1312" t="s">
        <v>206</v>
      </c>
      <c r="B1312" t="s">
        <v>11</v>
      </c>
      <c r="C1312" s="1" t="str">
        <f>HYPERLINK("http://продеталь.рф/search.html?article=DG04076BA","DG04076BA")</f>
        <v>DG04076BA</v>
      </c>
      <c r="D1312" t="s">
        <v>2</v>
      </c>
    </row>
    <row r="1313" spans="1:4" x14ac:dyDescent="0.25">
      <c r="A1313" t="s">
        <v>207</v>
      </c>
      <c r="B1313" s="2" t="s">
        <v>207</v>
      </c>
      <c r="C1313" s="2"/>
      <c r="D1313" s="2"/>
    </row>
    <row r="1314" spans="1:4" outlineLevel="1" x14ac:dyDescent="0.25">
      <c r="A1314" t="s">
        <v>207</v>
      </c>
      <c r="B1314" t="s">
        <v>3</v>
      </c>
      <c r="C1314" s="1" t="str">
        <f>HYPERLINK("http://продеталь.рф/search.html?article=203006001A","203006001A")</f>
        <v>203006001A</v>
      </c>
      <c r="D1314" t="s">
        <v>4</v>
      </c>
    </row>
    <row r="1315" spans="1:4" x14ac:dyDescent="0.25">
      <c r="A1315" t="s">
        <v>208</v>
      </c>
      <c r="B1315" s="2" t="s">
        <v>208</v>
      </c>
      <c r="C1315" s="2"/>
      <c r="D1315" s="2"/>
    </row>
    <row r="1316" spans="1:4" outlineLevel="1" x14ac:dyDescent="0.25">
      <c r="A1316" t="s">
        <v>208</v>
      </c>
      <c r="B1316" t="s">
        <v>11</v>
      </c>
      <c r="C1316" s="1" t="str">
        <f>HYPERLINK("http://продеталь.рф/search.html?article=DG02000005000","DG02000005000")</f>
        <v>DG02000005000</v>
      </c>
      <c r="D1316" t="s">
        <v>9</v>
      </c>
    </row>
    <row r="1317" spans="1:4" outlineLevel="1" x14ac:dyDescent="0.25">
      <c r="A1317" t="s">
        <v>208</v>
      </c>
      <c r="B1317" t="s">
        <v>11</v>
      </c>
      <c r="C1317" s="1" t="str">
        <f>HYPERLINK("http://продеталь.рф/search.html?article=DG02000E0","DG02000E0")</f>
        <v>DG02000E0</v>
      </c>
      <c r="D1317" t="s">
        <v>9</v>
      </c>
    </row>
    <row r="1318" spans="1:4" outlineLevel="1" x14ac:dyDescent="0.25">
      <c r="A1318" t="s">
        <v>208</v>
      </c>
      <c r="B1318" t="s">
        <v>11</v>
      </c>
      <c r="C1318" s="1" t="str">
        <f>HYPERLINK("http://продеталь.рф/search.html?article=DG04050BA","DG04050BA")</f>
        <v>DG04050BA</v>
      </c>
      <c r="D1318" t="s">
        <v>2</v>
      </c>
    </row>
    <row r="1319" spans="1:4" outlineLevel="1" x14ac:dyDescent="0.25">
      <c r="A1319" t="s">
        <v>208</v>
      </c>
      <c r="B1319" t="s">
        <v>24</v>
      </c>
      <c r="C1319" s="1" t="str">
        <f>HYPERLINK("http://продеталь.рф/search.html?article=DG020162","DG020162")</f>
        <v>DG020162</v>
      </c>
      <c r="D1319" t="s">
        <v>9</v>
      </c>
    </row>
    <row r="1320" spans="1:4" outlineLevel="1" x14ac:dyDescent="0.25">
      <c r="A1320" t="s">
        <v>208</v>
      </c>
      <c r="B1320" t="s">
        <v>3</v>
      </c>
      <c r="C1320" s="1" t="str">
        <f>HYPERLINK("http://продеталь.рф/search.html?article=205689016B","205689016B")</f>
        <v>205689016B</v>
      </c>
      <c r="D1320" t="s">
        <v>4</v>
      </c>
    </row>
    <row r="1321" spans="1:4" outlineLevel="1" x14ac:dyDescent="0.25">
      <c r="A1321" t="s">
        <v>208</v>
      </c>
      <c r="B1321" t="s">
        <v>5</v>
      </c>
      <c r="C1321" s="1" t="str">
        <f>HYPERLINK("http://продеталь.рф/search.html?article=PCR11041AR","PCR11041AR")</f>
        <v>PCR11041AR</v>
      </c>
      <c r="D1321" t="s">
        <v>6</v>
      </c>
    </row>
    <row r="1322" spans="1:4" outlineLevel="1" x14ac:dyDescent="0.25">
      <c r="A1322" t="s">
        <v>208</v>
      </c>
      <c r="B1322" t="s">
        <v>5</v>
      </c>
      <c r="C1322" s="1" t="str">
        <f>HYPERLINK("http://продеталь.рф/search.html?article=PCR11041BL","PCR11041BL")</f>
        <v>PCR11041BL</v>
      </c>
      <c r="D1322" t="s">
        <v>6</v>
      </c>
    </row>
    <row r="1323" spans="1:4" outlineLevel="1" x14ac:dyDescent="0.25">
      <c r="A1323" t="s">
        <v>208</v>
      </c>
      <c r="B1323" t="s">
        <v>5</v>
      </c>
      <c r="C1323" s="1" t="str">
        <f>HYPERLINK("http://продеталь.рф/search.html?article=PCR11041AL","PCR11041AL")</f>
        <v>PCR11041AL</v>
      </c>
      <c r="D1323" t="s">
        <v>6</v>
      </c>
    </row>
    <row r="1324" spans="1:4" outlineLevel="1" x14ac:dyDescent="0.25">
      <c r="A1324" t="s">
        <v>208</v>
      </c>
      <c r="B1324" t="s">
        <v>28</v>
      </c>
      <c r="C1324" s="1" t="str">
        <f>HYPERLINK("http://продеталь.рф/search.html?article=RA69209","RA69209")</f>
        <v>RA69209</v>
      </c>
      <c r="D1324" t="s">
        <v>6</v>
      </c>
    </row>
    <row r="1325" spans="1:4" x14ac:dyDescent="0.25">
      <c r="A1325" t="s">
        <v>209</v>
      </c>
      <c r="B1325" s="2" t="s">
        <v>209</v>
      </c>
      <c r="C1325" s="2"/>
      <c r="D1325" s="2"/>
    </row>
    <row r="1326" spans="1:4" outlineLevel="1" x14ac:dyDescent="0.25">
      <c r="A1326" t="s">
        <v>209</v>
      </c>
      <c r="B1326" t="s">
        <v>11</v>
      </c>
      <c r="C1326" s="1" t="str">
        <f>HYPERLINK("http://продеталь.рф/search.html?article=DG04042BB","DG04042BB")</f>
        <v>DG04042BB</v>
      </c>
      <c r="D1326" t="s">
        <v>2</v>
      </c>
    </row>
    <row r="1327" spans="1:4" outlineLevel="1" x14ac:dyDescent="0.25">
      <c r="A1327" t="s">
        <v>209</v>
      </c>
      <c r="B1327" t="s">
        <v>11</v>
      </c>
      <c r="C1327" s="1" t="str">
        <f>HYPERLINK("http://продеталь.рф/search.html?article=DG04067BB","DG04067BB")</f>
        <v>DG04067BB</v>
      </c>
      <c r="D1327" t="s">
        <v>2</v>
      </c>
    </row>
    <row r="1328" spans="1:4" outlineLevel="1" x14ac:dyDescent="0.25">
      <c r="A1328" t="s">
        <v>209</v>
      </c>
      <c r="B1328" t="s">
        <v>15</v>
      </c>
      <c r="C1328" s="1" t="str">
        <f>HYPERLINK("http://продеталь.рф/search.html?article=388DGD094E","388DGD094E")</f>
        <v>388DGD094E</v>
      </c>
      <c r="D1328" t="s">
        <v>4</v>
      </c>
    </row>
    <row r="1329" spans="1:4" outlineLevel="1" x14ac:dyDescent="0.25">
      <c r="A1329" t="s">
        <v>209</v>
      </c>
      <c r="B1329" t="s">
        <v>15</v>
      </c>
      <c r="C1329" s="1" t="str">
        <f>HYPERLINK("http://продеталь.рф/search.html?article=388DGD093E","388DGD093E")</f>
        <v>388DGD093E</v>
      </c>
      <c r="D1329" t="s">
        <v>4</v>
      </c>
    </row>
    <row r="1330" spans="1:4" outlineLevel="1" x14ac:dyDescent="0.25">
      <c r="A1330" t="s">
        <v>209</v>
      </c>
      <c r="B1330" t="s">
        <v>12</v>
      </c>
      <c r="C1330" s="1" t="str">
        <f>HYPERLINK("http://продеталь.рф/search.html?article=DG07047GA","DG07047GA")</f>
        <v>DG07047GA</v>
      </c>
      <c r="D1330" t="s">
        <v>2</v>
      </c>
    </row>
    <row r="1331" spans="1:4" x14ac:dyDescent="0.25">
      <c r="A1331" t="s">
        <v>210</v>
      </c>
      <c r="B1331" s="2" t="s">
        <v>210</v>
      </c>
      <c r="C1331" s="2"/>
      <c r="D1331" s="2"/>
    </row>
    <row r="1332" spans="1:4" outlineLevel="1" x14ac:dyDescent="0.25">
      <c r="A1332" t="s">
        <v>210</v>
      </c>
      <c r="B1332" t="s">
        <v>11</v>
      </c>
      <c r="C1332" s="1" t="str">
        <f>HYPERLINK("http://продеталь.рф/search.html?article=FIA07AL001","FIA07AL001")</f>
        <v>FIA07AL001</v>
      </c>
      <c r="D1332" t="s">
        <v>182</v>
      </c>
    </row>
    <row r="1333" spans="1:4" outlineLevel="1" x14ac:dyDescent="0.25">
      <c r="A1333" t="s">
        <v>210</v>
      </c>
      <c r="B1333" t="s">
        <v>3</v>
      </c>
      <c r="C1333" s="1" t="str">
        <f>HYPERLINK("http://продеталь.рф/search.html?article=20B092G56B","20B092G56B")</f>
        <v>20B092G56B</v>
      </c>
      <c r="D1333" t="s">
        <v>4</v>
      </c>
    </row>
    <row r="1334" spans="1:4" outlineLevel="1" x14ac:dyDescent="0.25">
      <c r="A1334" t="s">
        <v>210</v>
      </c>
      <c r="B1334" t="s">
        <v>3</v>
      </c>
      <c r="C1334" s="1" t="str">
        <f>HYPERLINK("http://продеталь.рф/search.html?article=20B091G56B","20B091G56B")</f>
        <v>20B091G56B</v>
      </c>
      <c r="D1334" t="s">
        <v>4</v>
      </c>
    </row>
    <row r="1335" spans="1:4" outlineLevel="1" x14ac:dyDescent="0.25">
      <c r="A1335" t="s">
        <v>210</v>
      </c>
      <c r="B1335" t="s">
        <v>3</v>
      </c>
      <c r="C1335" s="1" t="str">
        <f>HYPERLINK("http://продеталь.рф/search.html?article=20B091F56B","20B091F56B")</f>
        <v>20B091F56B</v>
      </c>
      <c r="D1335" t="s">
        <v>4</v>
      </c>
    </row>
    <row r="1336" spans="1:4" x14ac:dyDescent="0.25">
      <c r="A1336" t="s">
        <v>211</v>
      </c>
      <c r="B1336" s="2" t="s">
        <v>211</v>
      </c>
      <c r="C1336" s="2"/>
      <c r="D1336" s="2"/>
    </row>
    <row r="1337" spans="1:4" outlineLevel="1" x14ac:dyDescent="0.25">
      <c r="A1337" t="s">
        <v>211</v>
      </c>
      <c r="B1337" t="s">
        <v>11</v>
      </c>
      <c r="C1337" s="1" t="str">
        <f>HYPERLINK("http://продеталь.рф/search.html?article=21503","21503")</f>
        <v>21503</v>
      </c>
      <c r="D1337" t="s">
        <v>163</v>
      </c>
    </row>
    <row r="1338" spans="1:4" outlineLevel="1" x14ac:dyDescent="0.25">
      <c r="A1338" t="s">
        <v>211</v>
      </c>
      <c r="B1338" t="s">
        <v>15</v>
      </c>
      <c r="C1338" s="1" t="str">
        <f>HYPERLINK("http://продеталь.рф/search.html?article=388FTD037T02T","388FTD037T02T")</f>
        <v>388FTD037T02T</v>
      </c>
      <c r="D1338" t="s">
        <v>4</v>
      </c>
    </row>
    <row r="1339" spans="1:4" outlineLevel="1" x14ac:dyDescent="0.25">
      <c r="A1339" t="s">
        <v>211</v>
      </c>
      <c r="B1339" t="s">
        <v>77</v>
      </c>
      <c r="C1339" s="1" t="str">
        <f>HYPERLINK("http://продеталь.рф/search.html?article=RI96701","RI96701")</f>
        <v>RI96701</v>
      </c>
      <c r="D1339" t="s">
        <v>6</v>
      </c>
    </row>
    <row r="1340" spans="1:4" outlineLevel="1" x14ac:dyDescent="0.25">
      <c r="A1340" t="s">
        <v>211</v>
      </c>
      <c r="B1340" t="s">
        <v>1</v>
      </c>
      <c r="C1340" s="1" t="str">
        <f>HYPERLINK("http://продеталь.рф/search.html?article=FT20009A","FT20009A")</f>
        <v>FT20009A</v>
      </c>
      <c r="D1340" t="s">
        <v>2</v>
      </c>
    </row>
    <row r="1341" spans="1:4" outlineLevel="1" x14ac:dyDescent="0.25">
      <c r="A1341" t="s">
        <v>211</v>
      </c>
      <c r="B1341" t="s">
        <v>27</v>
      </c>
      <c r="C1341" s="1" t="str">
        <f>HYPERLINK("http://продеталь.рф/search.html?article=PFT30001A","PFT30001A")</f>
        <v>PFT30001A</v>
      </c>
      <c r="D1341" t="s">
        <v>6</v>
      </c>
    </row>
    <row r="1342" spans="1:4" outlineLevel="1" x14ac:dyDescent="0.25">
      <c r="A1342" t="s">
        <v>211</v>
      </c>
      <c r="B1342" t="s">
        <v>27</v>
      </c>
      <c r="C1342" s="1" t="str">
        <f>HYPERLINK("http://продеталь.рф/search.html?article=19121035080","19121035080")</f>
        <v>19121035080</v>
      </c>
      <c r="D1342" t="s">
        <v>49</v>
      </c>
    </row>
    <row r="1343" spans="1:4" outlineLevel="1" x14ac:dyDescent="0.25">
      <c r="A1343" t="s">
        <v>211</v>
      </c>
      <c r="B1343" t="s">
        <v>3</v>
      </c>
      <c r="C1343" s="1" t="str">
        <f>HYPERLINK("http://продеталь.рф/search.html?article=203690082","203690082")</f>
        <v>203690082</v>
      </c>
      <c r="D1343" t="s">
        <v>4</v>
      </c>
    </row>
    <row r="1344" spans="1:4" outlineLevel="1" x14ac:dyDescent="0.25">
      <c r="A1344" t="s">
        <v>211</v>
      </c>
      <c r="B1344" t="s">
        <v>3</v>
      </c>
      <c r="C1344" s="1" t="str">
        <f>HYPERLINK("http://продеталь.рф/search.html?article=203689082","203689082")</f>
        <v>203689082</v>
      </c>
      <c r="D1344" t="s">
        <v>4</v>
      </c>
    </row>
    <row r="1345" spans="1:4" outlineLevel="1" x14ac:dyDescent="0.25">
      <c r="A1345" t="s">
        <v>211</v>
      </c>
      <c r="B1345" t="s">
        <v>3</v>
      </c>
      <c r="C1345" s="1" t="str">
        <f>HYPERLINK("http://продеталь.рф/search.html?article=205434052","205434052")</f>
        <v>205434052</v>
      </c>
      <c r="D1345" t="s">
        <v>4</v>
      </c>
    </row>
    <row r="1346" spans="1:4" outlineLevel="1" x14ac:dyDescent="0.25">
      <c r="A1346" t="s">
        <v>211</v>
      </c>
      <c r="B1346" t="s">
        <v>3</v>
      </c>
      <c r="C1346" s="1" t="str">
        <f>HYPERLINK("http://продеталь.рф/search.html?article=205433052","205433052")</f>
        <v>205433052</v>
      </c>
      <c r="D1346" t="s">
        <v>4</v>
      </c>
    </row>
    <row r="1347" spans="1:4" outlineLevel="1" x14ac:dyDescent="0.25">
      <c r="A1347" t="s">
        <v>211</v>
      </c>
      <c r="B1347" t="s">
        <v>5</v>
      </c>
      <c r="C1347" s="1" t="str">
        <f>HYPERLINK("http://продеталь.рф/search.html?article=210417","210417")</f>
        <v>210417</v>
      </c>
      <c r="D1347" t="s">
        <v>21</v>
      </c>
    </row>
    <row r="1348" spans="1:4" outlineLevel="1" x14ac:dyDescent="0.25">
      <c r="A1348" t="s">
        <v>211</v>
      </c>
      <c r="B1348" t="s">
        <v>5</v>
      </c>
      <c r="C1348" s="1" t="str">
        <f>HYPERLINK("http://продеталь.рф/search.html?article=210418","210418")</f>
        <v>210418</v>
      </c>
      <c r="D1348" t="s">
        <v>21</v>
      </c>
    </row>
    <row r="1349" spans="1:4" outlineLevel="1" x14ac:dyDescent="0.25">
      <c r="A1349" t="s">
        <v>211</v>
      </c>
      <c r="B1349" t="s">
        <v>19</v>
      </c>
      <c r="C1349" s="1" t="str">
        <f>HYPERLINK("http://продеталь.рф/search.html?article=195041052","195041052")</f>
        <v>195041052</v>
      </c>
      <c r="D1349" t="s">
        <v>4</v>
      </c>
    </row>
    <row r="1350" spans="1:4" outlineLevel="1" x14ac:dyDescent="0.25">
      <c r="A1350" t="s">
        <v>211</v>
      </c>
      <c r="B1350" t="s">
        <v>28</v>
      </c>
      <c r="C1350" s="1" t="str">
        <f>HYPERLINK("http://продеталь.рф/search.html?article=RA61808","RA61808")</f>
        <v>RA61808</v>
      </c>
      <c r="D1350" t="s">
        <v>6</v>
      </c>
    </row>
    <row r="1351" spans="1:4" outlineLevel="1" x14ac:dyDescent="0.25">
      <c r="A1351" t="s">
        <v>211</v>
      </c>
      <c r="B1351" t="s">
        <v>30</v>
      </c>
      <c r="C1351" s="1" t="str">
        <f>HYPERLINK("http://продеталь.рф/search.html?article=036315","036315")</f>
        <v>036315</v>
      </c>
      <c r="D1351" t="s">
        <v>61</v>
      </c>
    </row>
    <row r="1352" spans="1:4" outlineLevel="1" x14ac:dyDescent="0.25">
      <c r="A1352" t="s">
        <v>211</v>
      </c>
      <c r="B1352" t="s">
        <v>12</v>
      </c>
      <c r="C1352" s="1" t="str">
        <f>HYPERLINK("http://продеталь.рф/search.html?article=036501","036501")</f>
        <v>036501</v>
      </c>
      <c r="D1352" t="s">
        <v>61</v>
      </c>
    </row>
    <row r="1353" spans="1:4" outlineLevel="1" x14ac:dyDescent="0.25">
      <c r="A1353" t="s">
        <v>211</v>
      </c>
      <c r="B1353" t="s">
        <v>75</v>
      </c>
      <c r="C1353" s="1" t="str">
        <f>HYPERLINK("http://продеталь.рф/search.html?article=185159052","185159052")</f>
        <v>185159052</v>
      </c>
      <c r="D1353" t="s">
        <v>4</v>
      </c>
    </row>
    <row r="1354" spans="1:4" x14ac:dyDescent="0.25">
      <c r="A1354" t="s">
        <v>212</v>
      </c>
      <c r="B1354" s="2" t="s">
        <v>212</v>
      </c>
      <c r="C1354" s="2"/>
      <c r="D1354" s="2"/>
    </row>
    <row r="1355" spans="1:4" outlineLevel="1" x14ac:dyDescent="0.25">
      <c r="A1355" t="s">
        <v>212</v>
      </c>
      <c r="B1355" t="s">
        <v>11</v>
      </c>
      <c r="C1355" s="1" t="str">
        <f>HYPERLINK("http://продеталь.рф/search.html?article=FT65100000000","FT65100000000")</f>
        <v>FT65100000000</v>
      </c>
      <c r="D1355" t="s">
        <v>9</v>
      </c>
    </row>
    <row r="1356" spans="1:4" outlineLevel="1" x14ac:dyDescent="0.25">
      <c r="A1356" t="s">
        <v>212</v>
      </c>
      <c r="B1356" t="s">
        <v>24</v>
      </c>
      <c r="C1356" s="1" t="str">
        <f>HYPERLINK("http://продеталь.рф/search.html?article=FT65101600R00","FT65101600R00")</f>
        <v>FT65101600R00</v>
      </c>
      <c r="D1356" t="s">
        <v>9</v>
      </c>
    </row>
    <row r="1357" spans="1:4" outlineLevel="1" x14ac:dyDescent="0.25">
      <c r="A1357" t="s">
        <v>212</v>
      </c>
      <c r="B1357" t="s">
        <v>3</v>
      </c>
      <c r="C1357" s="1" t="str">
        <f>HYPERLINK("http://продеталь.рф/search.html?article=20B342052B","20B342052B")</f>
        <v>20B342052B</v>
      </c>
      <c r="D1357" t="s">
        <v>4</v>
      </c>
    </row>
    <row r="1358" spans="1:4" outlineLevel="1" x14ac:dyDescent="0.25">
      <c r="A1358" t="s">
        <v>212</v>
      </c>
      <c r="B1358" t="s">
        <v>3</v>
      </c>
      <c r="C1358" s="1" t="str">
        <f>HYPERLINK("http://продеталь.рф/search.html?article=20B341052B","20B341052B")</f>
        <v>20B341052B</v>
      </c>
      <c r="D1358" t="s">
        <v>4</v>
      </c>
    </row>
    <row r="1359" spans="1:4" outlineLevel="1" x14ac:dyDescent="0.25">
      <c r="A1359" t="s">
        <v>212</v>
      </c>
      <c r="B1359" t="s">
        <v>5</v>
      </c>
      <c r="C1359" s="1" t="str">
        <f>HYPERLINK("http://продеталь.рф/search.html?article=211493","211493")</f>
        <v>211493</v>
      </c>
      <c r="D1359" t="s">
        <v>21</v>
      </c>
    </row>
    <row r="1360" spans="1:4" outlineLevel="1" x14ac:dyDescent="0.25">
      <c r="A1360" t="s">
        <v>212</v>
      </c>
      <c r="B1360" t="s">
        <v>5</v>
      </c>
      <c r="C1360" s="1" t="str">
        <f>HYPERLINK("http://продеталь.рф/search.html?article=211494","211494")</f>
        <v>211494</v>
      </c>
      <c r="D1360" t="s">
        <v>21</v>
      </c>
    </row>
    <row r="1361" spans="1:4" outlineLevel="1" x14ac:dyDescent="0.25">
      <c r="A1361" t="s">
        <v>212</v>
      </c>
      <c r="B1361" t="s">
        <v>5</v>
      </c>
      <c r="C1361" s="1" t="str">
        <f>HYPERLINK("http://продеталь.рф/search.html?article=FIA15DO003","FIA15DO003")</f>
        <v>FIA15DO003</v>
      </c>
      <c r="D1361" t="s">
        <v>182</v>
      </c>
    </row>
    <row r="1362" spans="1:4" outlineLevel="1" x14ac:dyDescent="0.25">
      <c r="A1362" t="s">
        <v>212</v>
      </c>
      <c r="B1362" t="s">
        <v>40</v>
      </c>
      <c r="C1362" s="1" t="str">
        <f>HYPERLINK("http://продеталь.рф/search.html?article=FIA07DO012","FIA07DO012")</f>
        <v>FIA07DO012</v>
      </c>
      <c r="D1362" t="s">
        <v>182</v>
      </c>
    </row>
    <row r="1363" spans="1:4" outlineLevel="1" x14ac:dyDescent="0.25">
      <c r="A1363" t="s">
        <v>212</v>
      </c>
      <c r="B1363" t="s">
        <v>40</v>
      </c>
      <c r="C1363" s="1" t="str">
        <f>HYPERLINK("http://продеталь.рф/search.html?article=FIA07DO011","FIA07DO011")</f>
        <v>FIA07DO011</v>
      </c>
      <c r="D1363" t="s">
        <v>182</v>
      </c>
    </row>
    <row r="1364" spans="1:4" x14ac:dyDescent="0.25">
      <c r="A1364" t="s">
        <v>213</v>
      </c>
      <c r="B1364" s="2" t="s">
        <v>213</v>
      </c>
      <c r="C1364" s="2"/>
      <c r="D1364" s="2"/>
    </row>
    <row r="1365" spans="1:4" outlineLevel="1" x14ac:dyDescent="0.25">
      <c r="A1365" t="s">
        <v>213</v>
      </c>
      <c r="B1365" t="s">
        <v>13</v>
      </c>
      <c r="C1365" s="1" t="str">
        <f>HYPERLINK("http://продеталь.рф/search.html?article=PFT44011A","PFT44011A")</f>
        <v>PFT44011A</v>
      </c>
      <c r="D1365" t="s">
        <v>6</v>
      </c>
    </row>
    <row r="1366" spans="1:4" x14ac:dyDescent="0.25">
      <c r="A1366" t="s">
        <v>214</v>
      </c>
      <c r="B1366" s="2" t="s">
        <v>214</v>
      </c>
      <c r="C1366" s="2"/>
      <c r="D1366" s="2"/>
    </row>
    <row r="1367" spans="1:4" outlineLevel="1" x14ac:dyDescent="0.25">
      <c r="A1367" t="s">
        <v>214</v>
      </c>
      <c r="B1367" t="s">
        <v>215</v>
      </c>
      <c r="C1367" s="1" t="str">
        <f>HYPERLINK("http://продеталь.рф/search.html?article=2096331","2096331")</f>
        <v>2096331</v>
      </c>
      <c r="D1367" t="s">
        <v>46</v>
      </c>
    </row>
    <row r="1368" spans="1:4" outlineLevel="1" x14ac:dyDescent="0.25">
      <c r="A1368" t="s">
        <v>214</v>
      </c>
      <c r="B1368" t="s">
        <v>215</v>
      </c>
      <c r="C1368" s="1" t="str">
        <f>HYPERLINK("http://продеталь.рф/search.html?article=2096332","2096332")</f>
        <v>2096332</v>
      </c>
      <c r="D1368" t="s">
        <v>46</v>
      </c>
    </row>
    <row r="1369" spans="1:4" outlineLevel="1" x14ac:dyDescent="0.25">
      <c r="A1369" t="s">
        <v>214</v>
      </c>
      <c r="B1369" t="s">
        <v>54</v>
      </c>
      <c r="C1369" s="1" t="str">
        <f>HYPERLINK("http://продеталь.рф/search.html?article=2096042","2096042")</f>
        <v>2096042</v>
      </c>
      <c r="D1369" t="s">
        <v>46</v>
      </c>
    </row>
    <row r="1370" spans="1:4" x14ac:dyDescent="0.25">
      <c r="A1370" t="s">
        <v>216</v>
      </c>
      <c r="B1370" s="2" t="s">
        <v>216</v>
      </c>
      <c r="C1370" s="2"/>
      <c r="D1370" s="2"/>
    </row>
    <row r="1371" spans="1:4" outlineLevel="1" x14ac:dyDescent="0.25">
      <c r="A1371" t="s">
        <v>216</v>
      </c>
      <c r="B1371" t="s">
        <v>11</v>
      </c>
      <c r="C1371" s="1" t="str">
        <f>HYPERLINK("http://продеталь.рф/search.html?article=321740","321740")</f>
        <v>321740</v>
      </c>
      <c r="D1371" t="s">
        <v>163</v>
      </c>
    </row>
    <row r="1372" spans="1:4" outlineLevel="1" x14ac:dyDescent="0.25">
      <c r="A1372" t="s">
        <v>216</v>
      </c>
      <c r="B1372" t="s">
        <v>15</v>
      </c>
      <c r="C1372" s="1" t="str">
        <f>HYPERLINK("http://продеталь.рф/search.html?article=388FTD120TP","388FTD120TP")</f>
        <v>388FTD120TP</v>
      </c>
      <c r="D1372" t="s">
        <v>4</v>
      </c>
    </row>
    <row r="1373" spans="1:4" outlineLevel="1" x14ac:dyDescent="0.25">
      <c r="A1373" t="s">
        <v>216</v>
      </c>
      <c r="B1373" t="s">
        <v>103</v>
      </c>
      <c r="C1373" s="1" t="str">
        <f>HYPERLINK("http://продеталь.рф/search.html?article=BP0008R","BP0008R")</f>
        <v>BP0008R</v>
      </c>
      <c r="D1373" t="s">
        <v>36</v>
      </c>
    </row>
    <row r="1374" spans="1:4" outlineLevel="1" x14ac:dyDescent="0.25">
      <c r="A1374" t="s">
        <v>216</v>
      </c>
      <c r="B1374" t="s">
        <v>103</v>
      </c>
      <c r="C1374" s="1" t="str">
        <f>HYPERLINK("http://продеталь.рф/search.html?article=BP0008L","BP0008L")</f>
        <v>BP0008L</v>
      </c>
      <c r="D1374" t="s">
        <v>36</v>
      </c>
    </row>
    <row r="1375" spans="1:4" outlineLevel="1" x14ac:dyDescent="0.25">
      <c r="A1375" t="s">
        <v>216</v>
      </c>
      <c r="B1375" t="s">
        <v>27</v>
      </c>
      <c r="C1375" s="1" t="str">
        <f>HYPERLINK("http://продеталь.рф/search.html?article=7283","7283")</f>
        <v>7283</v>
      </c>
      <c r="D1375" t="s">
        <v>36</v>
      </c>
    </row>
    <row r="1376" spans="1:4" outlineLevel="1" x14ac:dyDescent="0.25">
      <c r="A1376" t="s">
        <v>216</v>
      </c>
      <c r="B1376" t="s">
        <v>139</v>
      </c>
      <c r="C1376" s="1" t="str">
        <f>HYPERLINK("http://продеталь.рф/search.html?article=09580198","09580198")</f>
        <v>09580198</v>
      </c>
      <c r="D1376" t="s">
        <v>47</v>
      </c>
    </row>
    <row r="1377" spans="1:4" outlineLevel="1" x14ac:dyDescent="0.25">
      <c r="A1377" t="s">
        <v>216</v>
      </c>
      <c r="B1377" t="s">
        <v>5</v>
      </c>
      <c r="C1377" s="1" t="str">
        <f>HYPERLINK("http://продеталь.рф/search.html?article=210483","210483")</f>
        <v>210483</v>
      </c>
      <c r="D1377" t="s">
        <v>21</v>
      </c>
    </row>
    <row r="1378" spans="1:4" outlineLevel="1" x14ac:dyDescent="0.25">
      <c r="A1378" t="s">
        <v>216</v>
      </c>
      <c r="B1378" t="s">
        <v>5</v>
      </c>
      <c r="C1378" s="1" t="str">
        <f>HYPERLINK("http://продеталь.рф/search.html?article=210484","210484")</f>
        <v>210484</v>
      </c>
      <c r="D1378" t="s">
        <v>21</v>
      </c>
    </row>
    <row r="1379" spans="1:4" outlineLevel="1" x14ac:dyDescent="0.25">
      <c r="A1379" t="s">
        <v>216</v>
      </c>
      <c r="B1379" t="s">
        <v>40</v>
      </c>
      <c r="C1379" s="1" t="str">
        <f>HYPERLINK("http://продеталь.рф/search.html?article=FT140000GA000","FT140000GA000")</f>
        <v>FT140000GA000</v>
      </c>
      <c r="D1379" t="s">
        <v>9</v>
      </c>
    </row>
    <row r="1380" spans="1:4" outlineLevel="1" x14ac:dyDescent="0.25">
      <c r="A1380" t="s">
        <v>216</v>
      </c>
      <c r="B1380" t="s">
        <v>13</v>
      </c>
      <c r="C1380" s="1" t="str">
        <f>HYPERLINK("http://продеталь.рф/search.html?article=FT44012A","FT44012A")</f>
        <v>FT44012A</v>
      </c>
      <c r="D1380" t="s">
        <v>2</v>
      </c>
    </row>
    <row r="1381" spans="1:4" x14ac:dyDescent="0.25">
      <c r="A1381" t="s">
        <v>217</v>
      </c>
      <c r="B1381" s="2" t="s">
        <v>217</v>
      </c>
      <c r="C1381" s="2"/>
      <c r="D1381" s="2"/>
    </row>
    <row r="1382" spans="1:4" outlineLevel="1" x14ac:dyDescent="0.25">
      <c r="A1382" t="s">
        <v>217</v>
      </c>
      <c r="B1382" t="s">
        <v>11</v>
      </c>
      <c r="C1382" s="1" t="str">
        <f>HYPERLINK("http://продеталь.рф/search.html?article=21760","21760")</f>
        <v>21760</v>
      </c>
      <c r="D1382" t="s">
        <v>163</v>
      </c>
    </row>
    <row r="1383" spans="1:4" outlineLevel="1" x14ac:dyDescent="0.25">
      <c r="A1383" t="s">
        <v>217</v>
      </c>
      <c r="B1383" t="s">
        <v>11</v>
      </c>
      <c r="C1383" s="1" t="str">
        <f>HYPERLINK("http://продеталь.рф/search.html?article=FIA07PA003","FIA07PA003")</f>
        <v>FIA07PA003</v>
      </c>
      <c r="D1383" t="s">
        <v>182</v>
      </c>
    </row>
    <row r="1384" spans="1:4" outlineLevel="1" x14ac:dyDescent="0.25">
      <c r="A1384" t="s">
        <v>217</v>
      </c>
      <c r="B1384" t="s">
        <v>66</v>
      </c>
      <c r="C1384" s="1" t="str">
        <f>HYPERLINK("http://продеталь.рф/search.html?article=BK052","BK052")</f>
        <v>BK052</v>
      </c>
      <c r="D1384" t="s">
        <v>6</v>
      </c>
    </row>
    <row r="1385" spans="1:4" outlineLevel="1" x14ac:dyDescent="0.25">
      <c r="A1385" t="s">
        <v>217</v>
      </c>
      <c r="B1385" t="s">
        <v>3</v>
      </c>
      <c r="C1385" s="1" t="str">
        <f>HYPERLINK("http://продеталь.рф/search.html?article=205424082","205424082")</f>
        <v>205424082</v>
      </c>
      <c r="D1385" t="s">
        <v>4</v>
      </c>
    </row>
    <row r="1386" spans="1:4" outlineLevel="1" x14ac:dyDescent="0.25">
      <c r="A1386" t="s">
        <v>217</v>
      </c>
      <c r="B1386" t="s">
        <v>12</v>
      </c>
      <c r="C1386" s="1" t="str">
        <f>HYPERLINK("http://продеталь.рф/search.html?article=PI2287","PI2287")</f>
        <v>PI2287</v>
      </c>
      <c r="D1386" t="s">
        <v>2</v>
      </c>
    </row>
    <row r="1387" spans="1:4" outlineLevel="1" x14ac:dyDescent="0.25">
      <c r="A1387" t="s">
        <v>217</v>
      </c>
      <c r="B1387" t="s">
        <v>16</v>
      </c>
      <c r="C1387" s="1" t="str">
        <f>HYPERLINK("http://продеталь.рф/search.html?article=185126052","185126052")</f>
        <v>185126052</v>
      </c>
      <c r="D1387" t="s">
        <v>4</v>
      </c>
    </row>
    <row r="1388" spans="1:4" outlineLevel="1" x14ac:dyDescent="0.25">
      <c r="A1388" t="s">
        <v>217</v>
      </c>
      <c r="B1388" t="s">
        <v>16</v>
      </c>
      <c r="C1388" s="1" t="str">
        <f>HYPERLINK("http://продеталь.рф/search.html?article=185125052","185125052")</f>
        <v>185125052</v>
      </c>
      <c r="D1388" t="s">
        <v>4</v>
      </c>
    </row>
    <row r="1389" spans="1:4" outlineLevel="1" x14ac:dyDescent="0.25">
      <c r="A1389" t="s">
        <v>217</v>
      </c>
      <c r="B1389" t="s">
        <v>16</v>
      </c>
      <c r="C1389" s="1" t="str">
        <f>HYPERLINK("http://продеталь.рф/search.html?article=185126152","185126152")</f>
        <v>185126152</v>
      </c>
      <c r="D1389" t="s">
        <v>4</v>
      </c>
    </row>
    <row r="1390" spans="1:4" x14ac:dyDescent="0.25">
      <c r="A1390" t="s">
        <v>218</v>
      </c>
      <c r="B1390" s="2" t="s">
        <v>218</v>
      </c>
      <c r="C1390" s="2"/>
      <c r="D1390" s="2"/>
    </row>
    <row r="1391" spans="1:4" outlineLevel="1" x14ac:dyDescent="0.25">
      <c r="A1391" t="s">
        <v>218</v>
      </c>
      <c r="B1391" t="s">
        <v>11</v>
      </c>
      <c r="C1391" s="1" t="str">
        <f>HYPERLINK("http://продеталь.рф/search.html?article=21711","21711")</f>
        <v>21711</v>
      </c>
      <c r="D1391" t="s">
        <v>163</v>
      </c>
    </row>
    <row r="1392" spans="1:4" outlineLevel="1" x14ac:dyDescent="0.25">
      <c r="A1392" t="s">
        <v>218</v>
      </c>
      <c r="B1392" t="s">
        <v>15</v>
      </c>
      <c r="C1392" s="1" t="str">
        <f>HYPERLINK("http://продеталь.рф/search.html?article=FT080941E1R00","FT080941E1R00")</f>
        <v>FT080941E1R00</v>
      </c>
      <c r="D1392" t="s">
        <v>9</v>
      </c>
    </row>
    <row r="1393" spans="1:4" outlineLevel="1" x14ac:dyDescent="0.25">
      <c r="A1393" t="s">
        <v>218</v>
      </c>
      <c r="B1393" t="s">
        <v>24</v>
      </c>
      <c r="C1393" s="1" t="str">
        <f>HYPERLINK("http://продеталь.рф/search.html?article=302FTF026","302FTF026")</f>
        <v>302FTF026</v>
      </c>
      <c r="D1393" t="s">
        <v>4</v>
      </c>
    </row>
    <row r="1394" spans="1:4" outlineLevel="1" x14ac:dyDescent="0.25">
      <c r="A1394" t="s">
        <v>218</v>
      </c>
      <c r="B1394" t="s">
        <v>27</v>
      </c>
      <c r="C1394" s="1" t="str">
        <f>HYPERLINK("http://продеталь.рф/search.html?article=PFT30004A","PFT30004A")</f>
        <v>PFT30004A</v>
      </c>
      <c r="D1394" t="s">
        <v>6</v>
      </c>
    </row>
    <row r="1395" spans="1:4" outlineLevel="1" x14ac:dyDescent="0.25">
      <c r="A1395" t="s">
        <v>218</v>
      </c>
      <c r="B1395" t="s">
        <v>3</v>
      </c>
      <c r="C1395" s="1" t="str">
        <f>HYPERLINK("http://продеталь.рф/search.html?article=200335052","200335052")</f>
        <v>200335052</v>
      </c>
      <c r="D1395" t="s">
        <v>4</v>
      </c>
    </row>
    <row r="1396" spans="1:4" outlineLevel="1" x14ac:dyDescent="0.25">
      <c r="A1396" t="s">
        <v>218</v>
      </c>
      <c r="B1396" t="s">
        <v>3</v>
      </c>
      <c r="C1396" s="1" t="str">
        <f>HYPERLINK("http://продеталь.рф/search.html?article=20A336A52B","20A336A52B")</f>
        <v>20A336A52B</v>
      </c>
      <c r="D1396" t="s">
        <v>4</v>
      </c>
    </row>
    <row r="1397" spans="1:4" outlineLevel="1" x14ac:dyDescent="0.25">
      <c r="A1397" t="s">
        <v>218</v>
      </c>
      <c r="B1397" t="s">
        <v>3</v>
      </c>
      <c r="C1397" s="1" t="str">
        <f>HYPERLINK("http://продеталь.рф/search.html?article=20A335A52B","20A335A52B")</f>
        <v>20A335A52B</v>
      </c>
      <c r="D1397" t="s">
        <v>4</v>
      </c>
    </row>
    <row r="1398" spans="1:4" outlineLevel="1" x14ac:dyDescent="0.25">
      <c r="A1398" t="s">
        <v>218</v>
      </c>
      <c r="B1398" t="s">
        <v>5</v>
      </c>
      <c r="C1398" s="1" t="str">
        <f>HYPERLINK("http://продеталь.рф/search.html?article=PFT11036AR","PFT11036AR")</f>
        <v>PFT11036AR</v>
      </c>
      <c r="D1398" t="s">
        <v>6</v>
      </c>
    </row>
    <row r="1399" spans="1:4" outlineLevel="1" x14ac:dyDescent="0.25">
      <c r="A1399" t="s">
        <v>218</v>
      </c>
      <c r="B1399" t="s">
        <v>40</v>
      </c>
      <c r="C1399" s="1" t="str">
        <f>HYPERLINK("http://продеталь.рф/search.html?article=PFT99035GA","PFT99035GA")</f>
        <v>PFT99035GA</v>
      </c>
      <c r="D1399" t="s">
        <v>6</v>
      </c>
    </row>
    <row r="1400" spans="1:4" outlineLevel="1" x14ac:dyDescent="0.25">
      <c r="A1400" t="s">
        <v>218</v>
      </c>
      <c r="B1400" t="s">
        <v>75</v>
      </c>
      <c r="C1400" s="1" t="str">
        <f>HYPERLINK("http://продеталь.рф/search.html?article=18A531012B","18A531012B")</f>
        <v>18A531012B</v>
      </c>
      <c r="D1400" t="s">
        <v>4</v>
      </c>
    </row>
    <row r="1401" spans="1:4" outlineLevel="1" x14ac:dyDescent="0.25">
      <c r="A1401" t="s">
        <v>218</v>
      </c>
      <c r="B1401" t="s">
        <v>13</v>
      </c>
      <c r="C1401" s="1" t="str">
        <f>HYPERLINK("http://продеталь.рф/search.html?article=PFT44005A","PFT44005A")</f>
        <v>PFT44005A</v>
      </c>
      <c r="D1401" t="s">
        <v>6</v>
      </c>
    </row>
    <row r="1402" spans="1:4" x14ac:dyDescent="0.25">
      <c r="A1402" t="s">
        <v>219</v>
      </c>
      <c r="B1402" s="2" t="s">
        <v>219</v>
      </c>
      <c r="C1402" s="2"/>
      <c r="D1402" s="2"/>
    </row>
    <row r="1403" spans="1:4" outlineLevel="1" x14ac:dyDescent="0.25">
      <c r="A1403" t="s">
        <v>219</v>
      </c>
      <c r="B1403" t="s">
        <v>11</v>
      </c>
      <c r="C1403" s="1" t="str">
        <f>HYPERLINK("http://продеталь.рф/search.html?article=21759","21759")</f>
        <v>21759</v>
      </c>
      <c r="D1403" t="s">
        <v>163</v>
      </c>
    </row>
    <row r="1404" spans="1:4" outlineLevel="1" x14ac:dyDescent="0.25">
      <c r="A1404" t="s">
        <v>219</v>
      </c>
      <c r="B1404" t="s">
        <v>11</v>
      </c>
      <c r="C1404" s="1" t="str">
        <f>HYPERLINK("http://продеталь.рф/search.html?article=21750","21750")</f>
        <v>21750</v>
      </c>
      <c r="D1404" t="s">
        <v>163</v>
      </c>
    </row>
    <row r="1405" spans="1:4" outlineLevel="1" x14ac:dyDescent="0.25">
      <c r="A1405" t="s">
        <v>219</v>
      </c>
      <c r="B1405" t="s">
        <v>11</v>
      </c>
      <c r="C1405" s="1" t="str">
        <f>HYPERLINK("http://продеталь.рф/search.html?article=021755","021755")</f>
        <v>021755</v>
      </c>
      <c r="D1405" t="s">
        <v>163</v>
      </c>
    </row>
    <row r="1406" spans="1:4" outlineLevel="1" x14ac:dyDescent="0.25">
      <c r="A1406" t="s">
        <v>219</v>
      </c>
      <c r="B1406" t="s">
        <v>1</v>
      </c>
      <c r="C1406" s="1" t="str">
        <f>HYPERLINK("http://продеталь.рф/search.html?article=FT20006A","FT20006A")</f>
        <v>FT20006A</v>
      </c>
      <c r="D1406" t="s">
        <v>2</v>
      </c>
    </row>
    <row r="1407" spans="1:4" outlineLevel="1" x14ac:dyDescent="0.25">
      <c r="A1407" t="s">
        <v>219</v>
      </c>
      <c r="B1407" t="s">
        <v>3</v>
      </c>
      <c r="C1407" s="1" t="str">
        <f>HYPERLINK("http://продеталь.рф/search.html?article=203096052","203096052")</f>
        <v>203096052</v>
      </c>
      <c r="D1407" t="s">
        <v>4</v>
      </c>
    </row>
    <row r="1408" spans="1:4" outlineLevel="1" x14ac:dyDescent="0.25">
      <c r="A1408" t="s">
        <v>219</v>
      </c>
      <c r="B1408" t="s">
        <v>16</v>
      </c>
      <c r="C1408" s="1" t="str">
        <f>HYPERLINK("http://продеталь.рф/search.html?article=183394052","183394052")</f>
        <v>183394052</v>
      </c>
      <c r="D1408" t="s">
        <v>4</v>
      </c>
    </row>
    <row r="1409" spans="1:4" outlineLevel="1" x14ac:dyDescent="0.25">
      <c r="A1409" t="s">
        <v>219</v>
      </c>
      <c r="B1409" t="s">
        <v>16</v>
      </c>
      <c r="C1409" s="1" t="str">
        <f>HYPERLINK("http://продеталь.рф/search.html?article=183393052","183393052")</f>
        <v>183393052</v>
      </c>
      <c r="D1409" t="s">
        <v>4</v>
      </c>
    </row>
    <row r="1410" spans="1:4" outlineLevel="1" x14ac:dyDescent="0.25">
      <c r="A1410" t="s">
        <v>219</v>
      </c>
      <c r="B1410" t="s">
        <v>16</v>
      </c>
      <c r="C1410" s="1" t="str">
        <f>HYPERLINK("http://продеталь.рф/search.html?article=183394152","183394152")</f>
        <v>183394152</v>
      </c>
      <c r="D1410" t="s">
        <v>4</v>
      </c>
    </row>
    <row r="1411" spans="1:4" outlineLevel="1" x14ac:dyDescent="0.25">
      <c r="A1411" t="s">
        <v>219</v>
      </c>
      <c r="B1411" t="s">
        <v>16</v>
      </c>
      <c r="C1411" s="1" t="str">
        <f>HYPERLINK("http://продеталь.рф/search.html?article=183394912","183394912")</f>
        <v>183394912</v>
      </c>
      <c r="D1411" t="s">
        <v>4</v>
      </c>
    </row>
    <row r="1412" spans="1:4" x14ac:dyDescent="0.25">
      <c r="A1412" t="s">
        <v>220</v>
      </c>
      <c r="B1412" s="2" t="s">
        <v>220</v>
      </c>
      <c r="C1412" s="2"/>
      <c r="D1412" s="2"/>
    </row>
    <row r="1413" spans="1:4" outlineLevel="1" x14ac:dyDescent="0.25">
      <c r="A1413" t="s">
        <v>220</v>
      </c>
      <c r="B1413" t="s">
        <v>11</v>
      </c>
      <c r="C1413" s="1" t="str">
        <f>HYPERLINK("http://продеталь.рф/search.html?article=021730","021730")</f>
        <v>021730</v>
      </c>
      <c r="D1413" t="s">
        <v>163</v>
      </c>
    </row>
    <row r="1414" spans="1:4" outlineLevel="1" x14ac:dyDescent="0.25">
      <c r="A1414" t="s">
        <v>220</v>
      </c>
      <c r="B1414" t="s">
        <v>11</v>
      </c>
      <c r="C1414" s="1" t="str">
        <f>HYPERLINK("http://продеталь.рф/search.html?article=021781","021781")</f>
        <v>021781</v>
      </c>
      <c r="D1414" t="s">
        <v>163</v>
      </c>
    </row>
    <row r="1415" spans="1:4" outlineLevel="1" x14ac:dyDescent="0.25">
      <c r="A1415" t="s">
        <v>220</v>
      </c>
      <c r="B1415" t="s">
        <v>35</v>
      </c>
      <c r="C1415" s="1" t="str">
        <f>HYPERLINK("http://продеталь.рф/search.html?article=310304","310304")</f>
        <v>310304</v>
      </c>
      <c r="D1415" t="s">
        <v>21</v>
      </c>
    </row>
    <row r="1416" spans="1:4" outlineLevel="1" x14ac:dyDescent="0.25">
      <c r="A1416" t="s">
        <v>220</v>
      </c>
      <c r="B1416" t="s">
        <v>1</v>
      </c>
      <c r="C1416" s="1" t="str">
        <f>HYPERLINK("http://продеталь.рф/search.html?article=19082001","19082001")</f>
        <v>19082001</v>
      </c>
      <c r="D1416" t="s">
        <v>49</v>
      </c>
    </row>
    <row r="1417" spans="1:4" outlineLevel="1" x14ac:dyDescent="0.25">
      <c r="A1417" t="s">
        <v>220</v>
      </c>
      <c r="B1417" t="s">
        <v>1</v>
      </c>
      <c r="C1417" s="1" t="str">
        <f>HYPERLINK("http://продеталь.рф/search.html?article=PFT20014A","PFT20014A")</f>
        <v>PFT20014A</v>
      </c>
      <c r="D1417" t="s">
        <v>6</v>
      </c>
    </row>
    <row r="1418" spans="1:4" outlineLevel="1" x14ac:dyDescent="0.25">
      <c r="A1418" t="s">
        <v>220</v>
      </c>
      <c r="B1418" t="s">
        <v>24</v>
      </c>
      <c r="C1418" s="1" t="str">
        <f>HYPERLINK("http://продеталь.рф/search.html?article=19082004","19082004")</f>
        <v>19082004</v>
      </c>
      <c r="D1418" t="s">
        <v>49</v>
      </c>
    </row>
    <row r="1419" spans="1:4" outlineLevel="1" x14ac:dyDescent="0.25">
      <c r="A1419" t="s">
        <v>220</v>
      </c>
      <c r="B1419" t="s">
        <v>3</v>
      </c>
      <c r="C1419" s="1" t="str">
        <f>HYPERLINK("http://продеталь.рф/search.html?article=205957052","205957052")</f>
        <v>205957052</v>
      </c>
      <c r="D1419" t="s">
        <v>4</v>
      </c>
    </row>
    <row r="1420" spans="1:4" outlineLevel="1" x14ac:dyDescent="0.25">
      <c r="A1420" t="s">
        <v>220</v>
      </c>
      <c r="B1420" t="s">
        <v>3</v>
      </c>
      <c r="C1420" s="1" t="str">
        <f>HYPERLINK("http://продеталь.рф/search.html?article=205958052","205958052")</f>
        <v>205958052</v>
      </c>
      <c r="D1420" t="s">
        <v>4</v>
      </c>
    </row>
    <row r="1421" spans="1:4" outlineLevel="1" x14ac:dyDescent="0.25">
      <c r="A1421" t="s">
        <v>220</v>
      </c>
      <c r="B1421" t="s">
        <v>3</v>
      </c>
      <c r="C1421" s="1" t="str">
        <f>HYPERLINK("http://продеталь.рф/search.html?article=205958152","205958152")</f>
        <v>205958152</v>
      </c>
      <c r="D1421" t="s">
        <v>4</v>
      </c>
    </row>
    <row r="1422" spans="1:4" outlineLevel="1" x14ac:dyDescent="0.25">
      <c r="A1422" t="s">
        <v>220</v>
      </c>
      <c r="B1422" t="s">
        <v>3</v>
      </c>
      <c r="C1422" s="1" t="str">
        <f>HYPERLINK("http://продеталь.рф/search.html?article=205957152","205957152")</f>
        <v>205957152</v>
      </c>
      <c r="D1422" t="s">
        <v>4</v>
      </c>
    </row>
    <row r="1423" spans="1:4" outlineLevel="1" x14ac:dyDescent="0.25">
      <c r="A1423" t="s">
        <v>220</v>
      </c>
      <c r="B1423" t="s">
        <v>5</v>
      </c>
      <c r="C1423" s="1" t="str">
        <f>HYPERLINK("http://продеталь.рф/search.html?article=210440","210440")</f>
        <v>210440</v>
      </c>
      <c r="D1423" t="s">
        <v>21</v>
      </c>
    </row>
    <row r="1424" spans="1:4" outlineLevel="1" x14ac:dyDescent="0.25">
      <c r="A1424" t="s">
        <v>220</v>
      </c>
      <c r="B1424" t="s">
        <v>32</v>
      </c>
      <c r="C1424" s="1" t="str">
        <f>HYPERLINK("http://продеталь.рф/search.html?article=30900261","30900261")</f>
        <v>30900261</v>
      </c>
      <c r="D1424" t="s">
        <v>4</v>
      </c>
    </row>
    <row r="1425" spans="1:4" outlineLevel="1" x14ac:dyDescent="0.25">
      <c r="A1425" t="s">
        <v>220</v>
      </c>
      <c r="B1425" t="s">
        <v>32</v>
      </c>
      <c r="C1425" s="1" t="str">
        <f>HYPERLINK("http://продеталь.рф/search.html?article=30900251","30900251")</f>
        <v>30900251</v>
      </c>
      <c r="D1425" t="s">
        <v>4</v>
      </c>
    </row>
    <row r="1426" spans="1:4" outlineLevel="1" x14ac:dyDescent="0.25">
      <c r="A1426" t="s">
        <v>220</v>
      </c>
      <c r="B1426" t="s">
        <v>32</v>
      </c>
      <c r="C1426" s="1" t="str">
        <f>HYPERLINK("http://продеталь.рф/search.html?article=30900241","30900241")</f>
        <v>30900241</v>
      </c>
      <c r="D1426" t="s">
        <v>4</v>
      </c>
    </row>
    <row r="1427" spans="1:4" x14ac:dyDescent="0.25">
      <c r="A1427" t="s">
        <v>221</v>
      </c>
      <c r="B1427" s="2" t="s">
        <v>221</v>
      </c>
      <c r="C1427" s="2"/>
      <c r="D1427" s="2"/>
    </row>
    <row r="1428" spans="1:4" outlineLevel="1" x14ac:dyDescent="0.25">
      <c r="A1428" t="s">
        <v>221</v>
      </c>
      <c r="B1428" t="s">
        <v>3</v>
      </c>
      <c r="C1428" s="1" t="str">
        <f>HYPERLINK("http://продеталь.рф/search.html?article=205528082","205528082")</f>
        <v>205528082</v>
      </c>
      <c r="D1428" t="s">
        <v>4</v>
      </c>
    </row>
    <row r="1429" spans="1:4" outlineLevel="1" x14ac:dyDescent="0.25">
      <c r="A1429" t="s">
        <v>221</v>
      </c>
      <c r="B1429" t="s">
        <v>3</v>
      </c>
      <c r="C1429" s="1" t="str">
        <f>HYPERLINK("http://продеталь.рф/search.html?article=205527082","205527082")</f>
        <v>205527082</v>
      </c>
      <c r="D1429" t="s">
        <v>4</v>
      </c>
    </row>
    <row r="1430" spans="1:4" outlineLevel="1" x14ac:dyDescent="0.25">
      <c r="A1430" t="s">
        <v>221</v>
      </c>
      <c r="B1430" t="s">
        <v>16</v>
      </c>
      <c r="C1430" s="1" t="str">
        <f>HYPERLINK("http://продеталь.рф/search.html?article=185528052","185528052")</f>
        <v>185528052</v>
      </c>
      <c r="D1430" t="s">
        <v>4</v>
      </c>
    </row>
    <row r="1431" spans="1:4" outlineLevel="1" x14ac:dyDescent="0.25">
      <c r="A1431" t="s">
        <v>221</v>
      </c>
      <c r="B1431" t="s">
        <v>16</v>
      </c>
      <c r="C1431" s="1" t="str">
        <f>HYPERLINK("http://продеталь.рф/search.html?article=185527052","185527052")</f>
        <v>185527052</v>
      </c>
      <c r="D1431" t="s">
        <v>4</v>
      </c>
    </row>
    <row r="1432" spans="1:4" x14ac:dyDescent="0.25">
      <c r="A1432" t="s">
        <v>222</v>
      </c>
      <c r="B1432" s="2" t="s">
        <v>222</v>
      </c>
      <c r="C1432" s="2"/>
      <c r="D1432" s="2"/>
    </row>
    <row r="1433" spans="1:4" outlineLevel="1" x14ac:dyDescent="0.25">
      <c r="A1433" t="s">
        <v>222</v>
      </c>
      <c r="B1433" t="s">
        <v>66</v>
      </c>
      <c r="C1433" s="1" t="str">
        <f>HYPERLINK("http://продеталь.рф/search.html?article=BK043","BK043")</f>
        <v>BK043</v>
      </c>
      <c r="D1433" t="s">
        <v>6</v>
      </c>
    </row>
    <row r="1434" spans="1:4" x14ac:dyDescent="0.25">
      <c r="A1434" t="s">
        <v>223</v>
      </c>
      <c r="B1434" s="2" t="s">
        <v>223</v>
      </c>
      <c r="C1434" s="2"/>
      <c r="D1434" s="2"/>
    </row>
    <row r="1435" spans="1:4" outlineLevel="1" x14ac:dyDescent="0.25">
      <c r="A1435" t="s">
        <v>223</v>
      </c>
      <c r="B1435" t="s">
        <v>3</v>
      </c>
      <c r="C1435" s="1" t="str">
        <f>HYPERLINK("http://продеталь.рф/search.html?article=200068052","200068052")</f>
        <v>200068052</v>
      </c>
      <c r="D1435" t="s">
        <v>4</v>
      </c>
    </row>
    <row r="1436" spans="1:4" outlineLevel="1" x14ac:dyDescent="0.25">
      <c r="A1436" t="s">
        <v>223</v>
      </c>
      <c r="B1436" t="s">
        <v>3</v>
      </c>
      <c r="C1436" s="1" t="str">
        <f>HYPERLINK("http://продеталь.рф/search.html?article=200067052","200067052")</f>
        <v>200067052</v>
      </c>
      <c r="D1436" t="s">
        <v>4</v>
      </c>
    </row>
    <row r="1437" spans="1:4" x14ac:dyDescent="0.25">
      <c r="A1437" t="s">
        <v>224</v>
      </c>
      <c r="B1437" s="2" t="s">
        <v>224</v>
      </c>
      <c r="C1437" s="2"/>
      <c r="D1437" s="2"/>
    </row>
    <row r="1438" spans="1:4" outlineLevel="1" x14ac:dyDescent="0.25">
      <c r="A1438" t="s">
        <v>224</v>
      </c>
      <c r="B1438" t="s">
        <v>24</v>
      </c>
      <c r="C1438" s="1" t="str">
        <f>HYPERLINK("http://продеталь.рф/search.html?article=09300112","09300112")</f>
        <v>09300112</v>
      </c>
      <c r="D1438" t="s">
        <v>47</v>
      </c>
    </row>
    <row r="1439" spans="1:4" outlineLevel="1" x14ac:dyDescent="0.25">
      <c r="A1439" t="s">
        <v>224</v>
      </c>
      <c r="B1439" t="s">
        <v>24</v>
      </c>
      <c r="C1439" s="1" t="str">
        <f>HYPERLINK("http://продеталь.рф/search.html?article=09300111","09300111")</f>
        <v>09300111</v>
      </c>
      <c r="D1439" t="s">
        <v>47</v>
      </c>
    </row>
    <row r="1440" spans="1:4" outlineLevel="1" x14ac:dyDescent="0.25">
      <c r="A1440" t="s">
        <v>224</v>
      </c>
      <c r="B1440" t="s">
        <v>179</v>
      </c>
      <c r="C1440" s="1" t="str">
        <f>HYPERLINK("http://продеталь.рф/search.html?article=2025513","2025513")</f>
        <v>2025513</v>
      </c>
      <c r="D1440" t="s">
        <v>46</v>
      </c>
    </row>
    <row r="1441" spans="1:4" outlineLevel="1" x14ac:dyDescent="0.25">
      <c r="A1441" t="s">
        <v>224</v>
      </c>
      <c r="B1441" t="s">
        <v>179</v>
      </c>
      <c r="C1441" s="1" t="str">
        <f>HYPERLINK("http://продеталь.рф/search.html?article=2025514","2025514")</f>
        <v>2025514</v>
      </c>
      <c r="D1441" t="s">
        <v>46</v>
      </c>
    </row>
    <row r="1442" spans="1:4" x14ac:dyDescent="0.25">
      <c r="A1442" t="s">
        <v>225</v>
      </c>
      <c r="B1442" s="2" t="s">
        <v>225</v>
      </c>
      <c r="C1442" s="2"/>
      <c r="D1442" s="2"/>
    </row>
    <row r="1443" spans="1:4" outlineLevel="1" x14ac:dyDescent="0.25">
      <c r="A1443" t="s">
        <v>225</v>
      </c>
      <c r="B1443" t="s">
        <v>11</v>
      </c>
      <c r="C1443" s="1" t="str">
        <f>HYPERLINK("http://продеталь.рф/search.html?article=FD04237BA","FD04237BA")</f>
        <v>FD04237BA</v>
      </c>
      <c r="D1443" t="s">
        <v>2</v>
      </c>
    </row>
    <row r="1444" spans="1:4" outlineLevel="1" x14ac:dyDescent="0.25">
      <c r="A1444" t="s">
        <v>225</v>
      </c>
      <c r="B1444" t="s">
        <v>11</v>
      </c>
      <c r="C1444" s="1" t="str">
        <f>HYPERLINK("http://продеталь.рф/search.html?article=PFD04179BA","PFD04179BA")</f>
        <v>PFD04179BA</v>
      </c>
      <c r="D1444" t="s">
        <v>6</v>
      </c>
    </row>
    <row r="1445" spans="1:4" outlineLevel="1" x14ac:dyDescent="0.25">
      <c r="A1445" t="s">
        <v>225</v>
      </c>
      <c r="B1445" t="s">
        <v>15</v>
      </c>
      <c r="C1445" s="1" t="str">
        <f>HYPERLINK("http://продеталь.рф/search.html?article=FDM1060EL","FDM1060EL")</f>
        <v>FDM1060EL</v>
      </c>
      <c r="D1445" t="s">
        <v>2</v>
      </c>
    </row>
    <row r="1446" spans="1:4" outlineLevel="1" x14ac:dyDescent="0.25">
      <c r="A1446" t="s">
        <v>225</v>
      </c>
      <c r="B1446" t="s">
        <v>15</v>
      </c>
      <c r="C1446" s="1" t="str">
        <f>HYPERLINK("http://продеталь.рф/search.html?article=FDM1060ER","FDM1060ER")</f>
        <v>FDM1060ER</v>
      </c>
      <c r="D1446" t="s">
        <v>2</v>
      </c>
    </row>
    <row r="1447" spans="1:4" outlineLevel="1" x14ac:dyDescent="0.25">
      <c r="A1447" t="s">
        <v>225</v>
      </c>
      <c r="B1447" t="s">
        <v>1</v>
      </c>
      <c r="C1447" s="1" t="str">
        <f>HYPERLINK("http://продеталь.рф/search.html?article=PFD20100A","PFD20100A")</f>
        <v>PFD20100A</v>
      </c>
      <c r="D1447" t="s">
        <v>6</v>
      </c>
    </row>
    <row r="1448" spans="1:4" outlineLevel="1" x14ac:dyDescent="0.25">
      <c r="A1448" t="s">
        <v>225</v>
      </c>
      <c r="B1448" t="s">
        <v>51</v>
      </c>
      <c r="C1448" s="1" t="str">
        <f>HYPERLINK("http://продеталь.рф/search.html?article=PFD34123AW","PFD34123AW")</f>
        <v>PFD34123AW</v>
      </c>
      <c r="D1448" t="s">
        <v>6</v>
      </c>
    </row>
    <row r="1449" spans="1:4" outlineLevel="1" x14ac:dyDescent="0.25">
      <c r="A1449" t="s">
        <v>225</v>
      </c>
      <c r="B1449" t="s">
        <v>27</v>
      </c>
      <c r="C1449" s="1" t="str">
        <f>HYPERLINK("http://продеталь.рф/search.html?article=FD511009U0000","FD511009U0000")</f>
        <v>FD511009U0000</v>
      </c>
      <c r="D1449" t="s">
        <v>9</v>
      </c>
    </row>
    <row r="1450" spans="1:4" outlineLevel="1" x14ac:dyDescent="0.25">
      <c r="A1450" t="s">
        <v>225</v>
      </c>
      <c r="B1450" t="s">
        <v>3</v>
      </c>
      <c r="C1450" s="1" t="str">
        <f>HYPERLINK("http://продеталь.рф/search.html?article=ZFD1137L","ZFD1137L")</f>
        <v>ZFD1137L</v>
      </c>
      <c r="D1450" t="s">
        <v>6</v>
      </c>
    </row>
    <row r="1451" spans="1:4" outlineLevel="1" x14ac:dyDescent="0.25">
      <c r="A1451" t="s">
        <v>225</v>
      </c>
      <c r="B1451" t="s">
        <v>3</v>
      </c>
      <c r="C1451" s="1" t="str">
        <f>HYPERLINK("http://продеталь.рф/search.html?article=ZFD1137R","ZFD1137R")</f>
        <v>ZFD1137R</v>
      </c>
      <c r="D1451" t="s">
        <v>6</v>
      </c>
    </row>
    <row r="1452" spans="1:4" outlineLevel="1" x14ac:dyDescent="0.25">
      <c r="A1452" t="s">
        <v>225</v>
      </c>
      <c r="B1452" t="s">
        <v>3</v>
      </c>
      <c r="C1452" s="1" t="str">
        <f>HYPERLINK("http://продеталь.рф/search.html?article=20663401","20663401")</f>
        <v>20663401</v>
      </c>
      <c r="D1452" t="s">
        <v>4</v>
      </c>
    </row>
    <row r="1453" spans="1:4" outlineLevel="1" x14ac:dyDescent="0.25">
      <c r="A1453" t="s">
        <v>225</v>
      </c>
      <c r="B1453" t="s">
        <v>5</v>
      </c>
      <c r="C1453" s="1" t="str">
        <f>HYPERLINK("http://продеталь.рф/search.html?article=PFD11126AL","PFD11126AL")</f>
        <v>PFD11126AL</v>
      </c>
      <c r="D1453" t="s">
        <v>6</v>
      </c>
    </row>
    <row r="1454" spans="1:4" outlineLevel="1" x14ac:dyDescent="0.25">
      <c r="A1454" t="s">
        <v>225</v>
      </c>
      <c r="B1454" t="s">
        <v>5</v>
      </c>
      <c r="C1454" s="1" t="str">
        <f>HYPERLINK("http://продеталь.рф/search.html?article=PFD11126AR","PFD11126AR")</f>
        <v>PFD11126AR</v>
      </c>
      <c r="D1454" t="s">
        <v>6</v>
      </c>
    </row>
    <row r="1455" spans="1:4" outlineLevel="1" x14ac:dyDescent="0.25">
      <c r="A1455" t="s">
        <v>225</v>
      </c>
      <c r="B1455" t="s">
        <v>5</v>
      </c>
      <c r="C1455" s="1" t="str">
        <f>HYPERLINK("http://продеталь.рф/search.html?article=PFD11126CL","PFD11126CL")</f>
        <v>PFD11126CL</v>
      </c>
      <c r="D1455" t="s">
        <v>6</v>
      </c>
    </row>
    <row r="1456" spans="1:4" outlineLevel="1" x14ac:dyDescent="0.25">
      <c r="A1456" t="s">
        <v>225</v>
      </c>
      <c r="B1456" t="s">
        <v>19</v>
      </c>
      <c r="C1456" s="1" t="str">
        <f>HYPERLINK("http://продеталь.рф/search.html?article=195678001A","195678001A")</f>
        <v>195678001A</v>
      </c>
      <c r="D1456" t="s">
        <v>4</v>
      </c>
    </row>
    <row r="1457" spans="1:4" outlineLevel="1" x14ac:dyDescent="0.25">
      <c r="A1457" t="s">
        <v>225</v>
      </c>
      <c r="B1457" t="s">
        <v>19</v>
      </c>
      <c r="C1457" s="1" t="str">
        <f>HYPERLINK("http://продеталь.рф/search.html?article=195677001A","195677001A")</f>
        <v>195677001A</v>
      </c>
      <c r="D1457" t="s">
        <v>4</v>
      </c>
    </row>
    <row r="1458" spans="1:4" x14ac:dyDescent="0.25">
      <c r="A1458" t="s">
        <v>226</v>
      </c>
      <c r="B1458" s="2" t="s">
        <v>226</v>
      </c>
      <c r="C1458" s="2"/>
      <c r="D1458" s="2"/>
    </row>
    <row r="1459" spans="1:4" outlineLevel="1" x14ac:dyDescent="0.25">
      <c r="A1459" t="s">
        <v>226</v>
      </c>
      <c r="B1459" t="s">
        <v>15</v>
      </c>
      <c r="C1459" s="1" t="str">
        <f>HYPERLINK("http://продеталь.рф/search.html?article=FDM1103BL","FDM1103BL")</f>
        <v>FDM1103BL</v>
      </c>
      <c r="D1459" t="s">
        <v>2</v>
      </c>
    </row>
    <row r="1460" spans="1:4" outlineLevel="1" x14ac:dyDescent="0.25">
      <c r="A1460" t="s">
        <v>226</v>
      </c>
      <c r="B1460" t="s">
        <v>15</v>
      </c>
      <c r="C1460" s="1" t="str">
        <f>HYPERLINK("http://продеталь.рф/search.html?article=FDM1103BR","FDM1103BR")</f>
        <v>FDM1103BR</v>
      </c>
      <c r="D1460" t="s">
        <v>2</v>
      </c>
    </row>
    <row r="1461" spans="1:4" outlineLevel="1" x14ac:dyDescent="0.25">
      <c r="A1461" t="s">
        <v>226</v>
      </c>
      <c r="B1461" t="s">
        <v>74</v>
      </c>
      <c r="C1461" s="1" t="str">
        <f>HYPERLINK("http://продеталь.рф/search.html?article=682FDA062","682FDA062")</f>
        <v>682FDA062</v>
      </c>
      <c r="D1461" t="s">
        <v>4</v>
      </c>
    </row>
    <row r="1462" spans="1:4" outlineLevel="1" x14ac:dyDescent="0.25">
      <c r="A1462" t="s">
        <v>226</v>
      </c>
      <c r="B1462" t="s">
        <v>23</v>
      </c>
      <c r="C1462" s="1" t="str">
        <f>HYPERLINK("http://продеталь.рф/search.html?article=116261011A","116261011A")</f>
        <v>116261011A</v>
      </c>
      <c r="D1462" t="s">
        <v>4</v>
      </c>
    </row>
    <row r="1463" spans="1:4" outlineLevel="1" x14ac:dyDescent="0.25">
      <c r="A1463" t="s">
        <v>226</v>
      </c>
      <c r="B1463" t="s">
        <v>24</v>
      </c>
      <c r="C1463" s="1" t="str">
        <f>HYPERLINK("http://продеталь.рф/search.html?article=FD51201600L00","FD51201600L00")</f>
        <v>FD51201600L00</v>
      </c>
      <c r="D1463" t="s">
        <v>9</v>
      </c>
    </row>
    <row r="1464" spans="1:4" outlineLevel="1" x14ac:dyDescent="0.25">
      <c r="A1464" t="s">
        <v>226</v>
      </c>
      <c r="B1464" t="s">
        <v>24</v>
      </c>
      <c r="C1464" s="1" t="str">
        <f>HYPERLINK("http://продеталь.рф/search.html?article=FD51201600R00","FD51201600R00")</f>
        <v>FD51201600R00</v>
      </c>
      <c r="D1464" t="s">
        <v>9</v>
      </c>
    </row>
    <row r="1465" spans="1:4" outlineLevel="1" x14ac:dyDescent="0.25">
      <c r="A1465" t="s">
        <v>226</v>
      </c>
      <c r="B1465" t="s">
        <v>27</v>
      </c>
      <c r="C1465" s="1" t="str">
        <f>HYPERLINK("http://продеталь.рф/search.html?article=FD30135AC","FD30135AC")</f>
        <v>FD30135AC</v>
      </c>
      <c r="D1465" t="s">
        <v>2</v>
      </c>
    </row>
    <row r="1466" spans="1:4" outlineLevel="1" x14ac:dyDescent="0.25">
      <c r="A1466" t="s">
        <v>226</v>
      </c>
      <c r="B1466" t="s">
        <v>3</v>
      </c>
      <c r="C1466" s="1" t="str">
        <f>HYPERLINK("http://продеталь.рф/search.html?article=206877016B","206877016B")</f>
        <v>206877016B</v>
      </c>
      <c r="D1466" t="s">
        <v>4</v>
      </c>
    </row>
    <row r="1467" spans="1:4" outlineLevel="1" x14ac:dyDescent="0.25">
      <c r="A1467" t="s">
        <v>226</v>
      </c>
      <c r="B1467" t="s">
        <v>3</v>
      </c>
      <c r="C1467" s="1" t="str">
        <f>HYPERLINK("http://продеталь.рф/search.html?article=206878016B","206878016B")</f>
        <v>206878016B</v>
      </c>
      <c r="D1467" t="s">
        <v>4</v>
      </c>
    </row>
    <row r="1468" spans="1:4" outlineLevel="1" x14ac:dyDescent="0.25">
      <c r="A1468" t="s">
        <v>226</v>
      </c>
      <c r="B1468" t="s">
        <v>5</v>
      </c>
      <c r="C1468" s="1" t="str">
        <f>HYPERLINK("http://продеталь.рф/search.html?article=306FDF150","306FDF150")</f>
        <v>306FDF150</v>
      </c>
      <c r="D1468" t="s">
        <v>4</v>
      </c>
    </row>
    <row r="1469" spans="1:4" outlineLevel="1" x14ac:dyDescent="0.25">
      <c r="A1469" t="s">
        <v>226</v>
      </c>
      <c r="B1469" t="s">
        <v>5</v>
      </c>
      <c r="C1469" s="1" t="str">
        <f>HYPERLINK("http://продеталь.рф/search.html?article=306FDF149","306FDF149")</f>
        <v>306FDF149</v>
      </c>
      <c r="D1469" t="s">
        <v>4</v>
      </c>
    </row>
    <row r="1470" spans="1:4" outlineLevel="1" x14ac:dyDescent="0.25">
      <c r="A1470" t="s">
        <v>226</v>
      </c>
      <c r="B1470" t="s">
        <v>5</v>
      </c>
      <c r="C1470" s="1" t="str">
        <f>HYPERLINK("http://продеталь.рф/search.html?article=FD512016L1R00","FD512016L1R00")</f>
        <v>FD512016L1R00</v>
      </c>
      <c r="D1470" t="s">
        <v>9</v>
      </c>
    </row>
    <row r="1471" spans="1:4" outlineLevel="1" x14ac:dyDescent="0.25">
      <c r="A1471" t="s">
        <v>226</v>
      </c>
      <c r="B1471" t="s">
        <v>19</v>
      </c>
      <c r="C1471" s="1" t="str">
        <f>HYPERLINK("http://продеталь.рф/search.html?article=FD512219S0000","FD512219S0000")</f>
        <v>FD512219S0000</v>
      </c>
      <c r="D1471" t="s">
        <v>9</v>
      </c>
    </row>
    <row r="1472" spans="1:4" outlineLevel="1" x14ac:dyDescent="0.25">
      <c r="A1472" t="s">
        <v>226</v>
      </c>
      <c r="B1472" t="s">
        <v>28</v>
      </c>
      <c r="C1472" s="1" t="str">
        <f>HYPERLINK("http://продеталь.рф/search.html?article=613FDA132","613FDA132")</f>
        <v>613FDA132</v>
      </c>
      <c r="D1472" t="s">
        <v>4</v>
      </c>
    </row>
    <row r="1473" spans="1:4" outlineLevel="1" x14ac:dyDescent="0.25">
      <c r="A1473" t="s">
        <v>226</v>
      </c>
      <c r="B1473" t="s">
        <v>12</v>
      </c>
      <c r="C1473" s="1" t="str">
        <f>HYPERLINK("http://продеталь.рф/search.html?article=FD512093R0000","FD512093R0000")</f>
        <v>FD512093R0000</v>
      </c>
      <c r="D1473" t="s">
        <v>9</v>
      </c>
    </row>
    <row r="1474" spans="1:4" outlineLevel="1" x14ac:dyDescent="0.25">
      <c r="A1474" t="s">
        <v>226</v>
      </c>
      <c r="B1474" t="s">
        <v>13</v>
      </c>
      <c r="C1474" s="1" t="str">
        <f>HYPERLINK("http://продеталь.рф/search.html?article=FD512000R0000","FD512000R0000")</f>
        <v>FD512000R0000</v>
      </c>
      <c r="D1474" t="s">
        <v>9</v>
      </c>
    </row>
    <row r="1475" spans="1:4" x14ac:dyDescent="0.25">
      <c r="A1475" t="s">
        <v>227</v>
      </c>
      <c r="B1475" s="2" t="s">
        <v>227</v>
      </c>
      <c r="C1475" s="2"/>
      <c r="D1475" s="2"/>
    </row>
    <row r="1476" spans="1:4" outlineLevel="1" x14ac:dyDescent="0.25">
      <c r="A1476" t="s">
        <v>227</v>
      </c>
      <c r="B1476" t="s">
        <v>74</v>
      </c>
      <c r="C1476" s="1" t="str">
        <f>HYPERLINK("http://продеталь.рф/search.html?article=682FDA077","682FDA077")</f>
        <v>682FDA077</v>
      </c>
      <c r="D1476" t="s">
        <v>4</v>
      </c>
    </row>
    <row r="1477" spans="1:4" outlineLevel="1" x14ac:dyDescent="0.25">
      <c r="A1477" t="s">
        <v>227</v>
      </c>
      <c r="B1477" t="s">
        <v>84</v>
      </c>
      <c r="C1477" s="1" t="str">
        <f>HYPERLINK("http://продеталь.рф/search.html?article=FD43294AL","FD43294AL")</f>
        <v>FD43294AL</v>
      </c>
      <c r="D1477" t="s">
        <v>2</v>
      </c>
    </row>
    <row r="1478" spans="1:4" outlineLevel="1" x14ac:dyDescent="0.25">
      <c r="A1478" t="s">
        <v>227</v>
      </c>
      <c r="B1478" t="s">
        <v>71</v>
      </c>
      <c r="C1478" s="1" t="str">
        <f>HYPERLINK("http://продеталь.рф/search.html?article=PFD05090VA","PFD05090VA")</f>
        <v>PFD05090VA</v>
      </c>
      <c r="D1478" t="s">
        <v>6</v>
      </c>
    </row>
    <row r="1479" spans="1:4" x14ac:dyDescent="0.25">
      <c r="A1479" t="s">
        <v>228</v>
      </c>
      <c r="B1479" s="2" t="s">
        <v>228</v>
      </c>
      <c r="C1479" s="2"/>
      <c r="D1479" s="2"/>
    </row>
    <row r="1480" spans="1:4" outlineLevel="1" x14ac:dyDescent="0.25">
      <c r="A1480" t="s">
        <v>228</v>
      </c>
      <c r="B1480" t="s">
        <v>54</v>
      </c>
      <c r="C1480" s="1" t="str">
        <f>HYPERLINK("http://продеталь.рф/search.html?article=2525001","2525001")</f>
        <v>2525001</v>
      </c>
      <c r="D1480" t="s">
        <v>46</v>
      </c>
    </row>
    <row r="1481" spans="1:4" outlineLevel="1" x14ac:dyDescent="0.25">
      <c r="A1481" t="s">
        <v>228</v>
      </c>
      <c r="B1481" t="s">
        <v>54</v>
      </c>
      <c r="C1481" s="1" t="str">
        <f>HYPERLINK("http://продеталь.рф/search.html?article=2525002","2525002")</f>
        <v>2525002</v>
      </c>
      <c r="D1481" t="s">
        <v>46</v>
      </c>
    </row>
    <row r="1482" spans="1:4" outlineLevel="1" x14ac:dyDescent="0.25">
      <c r="A1482" t="s">
        <v>228</v>
      </c>
      <c r="B1482" t="s">
        <v>54</v>
      </c>
      <c r="C1482" s="1" t="str">
        <f>HYPERLINK("http://продеталь.рф/search.html?article=2525011","2525011")</f>
        <v>2525011</v>
      </c>
      <c r="D1482" t="s">
        <v>46</v>
      </c>
    </row>
    <row r="1483" spans="1:4" outlineLevel="1" x14ac:dyDescent="0.25">
      <c r="A1483" t="s">
        <v>228</v>
      </c>
      <c r="B1483" t="s">
        <v>54</v>
      </c>
      <c r="C1483" s="1" t="str">
        <f>HYPERLINK("http://продеталь.рф/search.html?article=2525012","2525012")</f>
        <v>2525012</v>
      </c>
      <c r="D1483" t="s">
        <v>46</v>
      </c>
    </row>
    <row r="1484" spans="1:4" x14ac:dyDescent="0.25">
      <c r="A1484" t="s">
        <v>229</v>
      </c>
      <c r="B1484" s="2" t="s">
        <v>229</v>
      </c>
      <c r="C1484" s="2"/>
      <c r="D1484" s="2"/>
    </row>
    <row r="1485" spans="1:4" outlineLevel="1" x14ac:dyDescent="0.25">
      <c r="A1485" t="s">
        <v>229</v>
      </c>
      <c r="B1485" t="s">
        <v>11</v>
      </c>
      <c r="C1485" s="1" t="str">
        <f>HYPERLINK("http://продеталь.рф/search.html?article=1018110","1018110")</f>
        <v>1018110</v>
      </c>
      <c r="D1485" t="s">
        <v>58</v>
      </c>
    </row>
    <row r="1486" spans="1:4" outlineLevel="1" x14ac:dyDescent="0.25">
      <c r="A1486" t="s">
        <v>229</v>
      </c>
      <c r="B1486" t="s">
        <v>1</v>
      </c>
      <c r="C1486" s="1" t="str">
        <f>HYPERLINK("http://продеталь.рф/search.html?article=FD040150","FD040150")</f>
        <v>FD040150</v>
      </c>
      <c r="D1486" t="s">
        <v>9</v>
      </c>
    </row>
    <row r="1487" spans="1:4" outlineLevel="1" x14ac:dyDescent="0.25">
      <c r="A1487" t="s">
        <v>229</v>
      </c>
      <c r="B1487" t="s">
        <v>41</v>
      </c>
      <c r="C1487" s="1" t="str">
        <f>HYPERLINK("http://продеталь.рф/search.html?article=SFD1118L","SFD1118L")</f>
        <v>SFD1118L</v>
      </c>
      <c r="D1487" t="s">
        <v>4</v>
      </c>
    </row>
    <row r="1488" spans="1:4" x14ac:dyDescent="0.25">
      <c r="A1488" t="s">
        <v>230</v>
      </c>
      <c r="B1488" s="2" t="s">
        <v>230</v>
      </c>
      <c r="C1488" s="2"/>
      <c r="D1488" s="2"/>
    </row>
    <row r="1489" spans="1:4" outlineLevel="1" x14ac:dyDescent="0.25">
      <c r="A1489" t="s">
        <v>230</v>
      </c>
      <c r="B1489" t="s">
        <v>45</v>
      </c>
      <c r="C1489" s="1" t="str">
        <f>HYPERLINK("http://продеталь.рф/search.html?article=2530582","2530582")</f>
        <v>2530582</v>
      </c>
      <c r="D1489" t="s">
        <v>46</v>
      </c>
    </row>
    <row r="1490" spans="1:4" outlineLevel="1" x14ac:dyDescent="0.25">
      <c r="A1490" t="s">
        <v>230</v>
      </c>
      <c r="B1490" t="s">
        <v>45</v>
      </c>
      <c r="C1490" s="1" t="str">
        <f>HYPERLINK("http://продеталь.рф/search.html?article=2530541","2530541")</f>
        <v>2530541</v>
      </c>
      <c r="D1490" t="s">
        <v>46</v>
      </c>
    </row>
    <row r="1491" spans="1:4" outlineLevel="1" x14ac:dyDescent="0.25">
      <c r="A1491" t="s">
        <v>230</v>
      </c>
      <c r="B1491" t="s">
        <v>45</v>
      </c>
      <c r="C1491" s="1" t="str">
        <f>HYPERLINK("http://продеталь.рф/search.html?article=2530542","2530542")</f>
        <v>2530542</v>
      </c>
      <c r="D1491" t="s">
        <v>46</v>
      </c>
    </row>
    <row r="1492" spans="1:4" outlineLevel="1" x14ac:dyDescent="0.25">
      <c r="A1492" t="s">
        <v>230</v>
      </c>
      <c r="B1492" t="s">
        <v>3</v>
      </c>
      <c r="C1492" s="1" t="str">
        <f>HYPERLINK("http://продеталь.рф/search.html?article=205116082","205116082")</f>
        <v>205116082</v>
      </c>
      <c r="D1492" t="s">
        <v>4</v>
      </c>
    </row>
    <row r="1493" spans="1:4" outlineLevel="1" x14ac:dyDescent="0.25">
      <c r="A1493" t="s">
        <v>230</v>
      </c>
      <c r="B1493" t="s">
        <v>3</v>
      </c>
      <c r="C1493" s="1" t="str">
        <f>HYPERLINK("http://продеталь.рф/search.html?article=205115082","205115082")</f>
        <v>205115082</v>
      </c>
      <c r="D1493" t="s">
        <v>4</v>
      </c>
    </row>
    <row r="1494" spans="1:4" outlineLevel="1" x14ac:dyDescent="0.25">
      <c r="A1494" t="s">
        <v>230</v>
      </c>
      <c r="B1494" t="s">
        <v>54</v>
      </c>
      <c r="C1494" s="1" t="str">
        <f>HYPERLINK("http://продеталь.рф/search.html?article=2530011","2530011")</f>
        <v>2530011</v>
      </c>
      <c r="D1494" t="s">
        <v>46</v>
      </c>
    </row>
    <row r="1495" spans="1:4" outlineLevel="1" x14ac:dyDescent="0.25">
      <c r="A1495" t="s">
        <v>230</v>
      </c>
      <c r="B1495" t="s">
        <v>54</v>
      </c>
      <c r="C1495" s="1" t="str">
        <f>HYPERLINK("http://продеталь.рф/search.html?article=2530012","2530012")</f>
        <v>2530012</v>
      </c>
      <c r="D1495" t="s">
        <v>46</v>
      </c>
    </row>
    <row r="1496" spans="1:4" outlineLevel="1" x14ac:dyDescent="0.25">
      <c r="A1496" t="s">
        <v>230</v>
      </c>
      <c r="B1496" t="s">
        <v>16</v>
      </c>
      <c r="C1496" s="1" t="str">
        <f>HYPERLINK("http://продеталь.рф/search.html?article=F10161200","F10161200")</f>
        <v>F10161200</v>
      </c>
      <c r="D1496" t="s">
        <v>231</v>
      </c>
    </row>
    <row r="1497" spans="1:4" outlineLevel="1" x14ac:dyDescent="0.25">
      <c r="A1497" t="s">
        <v>230</v>
      </c>
      <c r="B1497" t="s">
        <v>16</v>
      </c>
      <c r="C1497" s="1" t="str">
        <f>HYPERLINK("http://продеталь.рф/search.html?article=185088152","185088152")</f>
        <v>185088152</v>
      </c>
      <c r="D1497" t="s">
        <v>4</v>
      </c>
    </row>
    <row r="1498" spans="1:4" outlineLevel="1" x14ac:dyDescent="0.25">
      <c r="A1498" t="s">
        <v>230</v>
      </c>
      <c r="B1498" t="s">
        <v>16</v>
      </c>
      <c r="C1498" s="1" t="str">
        <f>HYPERLINK("http://продеталь.рф/search.html?article=185087152","185087152")</f>
        <v>185087152</v>
      </c>
      <c r="D1498" t="s">
        <v>4</v>
      </c>
    </row>
    <row r="1499" spans="1:4" x14ac:dyDescent="0.25">
      <c r="A1499" t="s">
        <v>232</v>
      </c>
      <c r="B1499" s="2" t="s">
        <v>232</v>
      </c>
      <c r="C1499" s="2"/>
      <c r="D1499" s="2"/>
    </row>
    <row r="1500" spans="1:4" outlineLevel="1" x14ac:dyDescent="0.25">
      <c r="A1500" t="s">
        <v>232</v>
      </c>
      <c r="B1500" t="s">
        <v>11</v>
      </c>
      <c r="C1500" s="1" t="str">
        <f>HYPERLINK("http://продеталь.рф/search.html?article=28055","28055")</f>
        <v>28055</v>
      </c>
      <c r="D1500" t="s">
        <v>163</v>
      </c>
    </row>
    <row r="1501" spans="1:4" outlineLevel="1" x14ac:dyDescent="0.25">
      <c r="A1501" t="s">
        <v>232</v>
      </c>
      <c r="B1501" t="s">
        <v>11</v>
      </c>
      <c r="C1501" s="1" t="str">
        <f>HYPERLINK("http://продеталь.рф/search.html?article=071061","071061")</f>
        <v>071061</v>
      </c>
      <c r="D1501" t="s">
        <v>165</v>
      </c>
    </row>
    <row r="1502" spans="1:4" outlineLevel="1" x14ac:dyDescent="0.25">
      <c r="A1502" t="s">
        <v>232</v>
      </c>
      <c r="B1502" t="s">
        <v>103</v>
      </c>
      <c r="C1502" s="1" t="str">
        <f>HYPERLINK("http://продеталь.рф/search.html?article=PFD99004CL","PFD99004CL")</f>
        <v>PFD99004CL</v>
      </c>
      <c r="D1502" t="s">
        <v>6</v>
      </c>
    </row>
    <row r="1503" spans="1:4" outlineLevel="1" x14ac:dyDescent="0.25">
      <c r="A1503" t="s">
        <v>232</v>
      </c>
      <c r="B1503" t="s">
        <v>51</v>
      </c>
      <c r="C1503" s="1" t="str">
        <f>HYPERLINK("http://продеталь.рф/search.html?article=22015033","22015033")</f>
        <v>22015033</v>
      </c>
      <c r="D1503" t="s">
        <v>49</v>
      </c>
    </row>
    <row r="1504" spans="1:4" outlineLevel="1" x14ac:dyDescent="0.25">
      <c r="A1504" t="s">
        <v>232</v>
      </c>
      <c r="B1504" t="s">
        <v>3</v>
      </c>
      <c r="C1504" s="1" t="str">
        <f>HYPERLINK("http://продеталь.рф/search.html?article=205035082","205035082")</f>
        <v>205035082</v>
      </c>
      <c r="D1504" t="s">
        <v>4</v>
      </c>
    </row>
    <row r="1505" spans="1:4" outlineLevel="1" x14ac:dyDescent="0.25">
      <c r="A1505" t="s">
        <v>232</v>
      </c>
      <c r="B1505" t="s">
        <v>3</v>
      </c>
      <c r="C1505" s="1" t="str">
        <f>HYPERLINK("http://продеталь.рф/search.html?article=205036082","205036082")</f>
        <v>205036082</v>
      </c>
      <c r="D1505" t="s">
        <v>4</v>
      </c>
    </row>
    <row r="1506" spans="1:4" outlineLevel="1" x14ac:dyDescent="0.25">
      <c r="A1506" t="s">
        <v>232</v>
      </c>
      <c r="B1506" t="s">
        <v>19</v>
      </c>
      <c r="C1506" s="1" t="str">
        <f>HYPERLINK("http://продеталь.рф/search.html?article=ZFD2006WEL","ZFD2006WEL")</f>
        <v>ZFD2006WEL</v>
      </c>
      <c r="D1506" t="s">
        <v>4</v>
      </c>
    </row>
    <row r="1507" spans="1:4" outlineLevel="1" x14ac:dyDescent="0.25">
      <c r="A1507" t="s">
        <v>232</v>
      </c>
      <c r="B1507" t="s">
        <v>19</v>
      </c>
      <c r="C1507" s="1" t="str">
        <f>HYPERLINK("http://продеталь.рф/search.html?article=ZFD2006WER","ZFD2006WER")</f>
        <v>ZFD2006WER</v>
      </c>
      <c r="D1507" t="s">
        <v>4</v>
      </c>
    </row>
    <row r="1508" spans="1:4" outlineLevel="1" x14ac:dyDescent="0.25">
      <c r="A1508" t="s">
        <v>232</v>
      </c>
      <c r="B1508" t="s">
        <v>40</v>
      </c>
      <c r="C1508" s="1" t="str">
        <f>HYPERLINK("http://продеталь.рф/search.html?article=FD07144GA","FD07144GA")</f>
        <v>FD07144GA</v>
      </c>
      <c r="D1508" t="s">
        <v>2</v>
      </c>
    </row>
    <row r="1509" spans="1:4" outlineLevel="1" x14ac:dyDescent="0.25">
      <c r="A1509" t="s">
        <v>232</v>
      </c>
      <c r="B1509" t="s">
        <v>12</v>
      </c>
      <c r="C1509" s="1" t="str">
        <f>HYPERLINK("http://продеталь.рф/search.html?article=310501","310501")</f>
        <v>310501</v>
      </c>
      <c r="D1509" t="s">
        <v>61</v>
      </c>
    </row>
    <row r="1510" spans="1:4" x14ac:dyDescent="0.25">
      <c r="A1510" t="s">
        <v>233</v>
      </c>
      <c r="B1510" s="2" t="s">
        <v>233</v>
      </c>
      <c r="C1510" s="2"/>
      <c r="D1510" s="2"/>
    </row>
    <row r="1511" spans="1:4" outlineLevel="1" x14ac:dyDescent="0.25">
      <c r="A1511" t="s">
        <v>233</v>
      </c>
      <c r="B1511" t="s">
        <v>11</v>
      </c>
      <c r="C1511" s="1" t="str">
        <f>HYPERLINK("http://продеталь.рф/search.html?article=28001","28001")</f>
        <v>28001</v>
      </c>
      <c r="D1511" t="s">
        <v>163</v>
      </c>
    </row>
    <row r="1512" spans="1:4" outlineLevel="1" x14ac:dyDescent="0.25">
      <c r="A1512" t="s">
        <v>233</v>
      </c>
      <c r="B1512" t="s">
        <v>3</v>
      </c>
      <c r="C1512" s="1" t="str">
        <f>HYPERLINK("http://продеталь.рф/search.html?article=203404052","203404052")</f>
        <v>203404052</v>
      </c>
      <c r="D1512" t="s">
        <v>4</v>
      </c>
    </row>
    <row r="1513" spans="1:4" outlineLevel="1" x14ac:dyDescent="0.25">
      <c r="A1513" t="s">
        <v>233</v>
      </c>
      <c r="B1513" t="s">
        <v>3</v>
      </c>
      <c r="C1513" s="1" t="str">
        <f>HYPERLINK("http://продеталь.рф/search.html?article=203403052","203403052")</f>
        <v>203403052</v>
      </c>
      <c r="D1513" t="s">
        <v>4</v>
      </c>
    </row>
    <row r="1514" spans="1:4" outlineLevel="1" x14ac:dyDescent="0.25">
      <c r="A1514" t="s">
        <v>233</v>
      </c>
      <c r="B1514" t="s">
        <v>3</v>
      </c>
      <c r="C1514" s="1" t="str">
        <f>HYPERLINK("http://продеталь.рф/search.html?article=ZFD1110WEL","ZFD1110WEL")</f>
        <v>ZFD1110WEL</v>
      </c>
      <c r="D1514" t="s">
        <v>4</v>
      </c>
    </row>
    <row r="1515" spans="1:4" outlineLevel="1" x14ac:dyDescent="0.25">
      <c r="A1515" t="s">
        <v>233</v>
      </c>
      <c r="B1515" t="s">
        <v>32</v>
      </c>
      <c r="C1515" s="1" t="str">
        <f>HYPERLINK("http://продеталь.рф/search.html?article=31000121","31000121")</f>
        <v>31000121</v>
      </c>
      <c r="D1515" t="s">
        <v>4</v>
      </c>
    </row>
    <row r="1516" spans="1:4" outlineLevel="1" x14ac:dyDescent="0.25">
      <c r="A1516" t="s">
        <v>233</v>
      </c>
      <c r="B1516" t="s">
        <v>32</v>
      </c>
      <c r="C1516" s="1" t="str">
        <f>HYPERLINK("http://продеталь.рф/search.html?article=31000111","31000111")</f>
        <v>31000111</v>
      </c>
      <c r="D1516" t="s">
        <v>4</v>
      </c>
    </row>
    <row r="1517" spans="1:4" x14ac:dyDescent="0.25">
      <c r="A1517" t="s">
        <v>234</v>
      </c>
      <c r="B1517" s="2" t="s">
        <v>234</v>
      </c>
      <c r="C1517" s="2"/>
      <c r="D1517" s="2"/>
    </row>
    <row r="1518" spans="1:4" outlineLevel="1" x14ac:dyDescent="0.25">
      <c r="A1518" t="s">
        <v>234</v>
      </c>
      <c r="B1518" t="s">
        <v>11</v>
      </c>
      <c r="C1518" s="1" t="str">
        <f>HYPERLINK("http://продеталь.рф/search.html?article=28023","28023")</f>
        <v>28023</v>
      </c>
      <c r="D1518" t="s">
        <v>163</v>
      </c>
    </row>
    <row r="1519" spans="1:4" outlineLevel="1" x14ac:dyDescent="0.25">
      <c r="A1519" t="s">
        <v>234</v>
      </c>
      <c r="B1519" t="s">
        <v>11</v>
      </c>
      <c r="C1519" s="1" t="str">
        <f>HYPERLINK("http://продеталь.рф/search.html?article=28026","28026")</f>
        <v>28026</v>
      </c>
      <c r="D1519" t="s">
        <v>163</v>
      </c>
    </row>
    <row r="1520" spans="1:4" outlineLevel="1" x14ac:dyDescent="0.25">
      <c r="A1520" t="s">
        <v>234</v>
      </c>
      <c r="B1520" t="s">
        <v>15</v>
      </c>
      <c r="C1520" s="1" t="str">
        <f>HYPERLINK("http://продеталь.рф/search.html?article=3100015","3100015")</f>
        <v>3100015</v>
      </c>
      <c r="D1520" t="s">
        <v>4</v>
      </c>
    </row>
    <row r="1521" spans="1:4" outlineLevel="1" x14ac:dyDescent="0.25">
      <c r="A1521" t="s">
        <v>234</v>
      </c>
      <c r="B1521" t="s">
        <v>79</v>
      </c>
      <c r="C1521" s="1" t="str">
        <f>HYPERLINK("http://продеталь.рф/search.html?article=8100024","8100024")</f>
        <v>8100024</v>
      </c>
      <c r="D1521" t="s">
        <v>4</v>
      </c>
    </row>
    <row r="1522" spans="1:4" outlineLevel="1" x14ac:dyDescent="0.25">
      <c r="A1522" t="s">
        <v>234</v>
      </c>
      <c r="B1522" t="s">
        <v>235</v>
      </c>
      <c r="C1522" s="1" t="str">
        <f>HYPERLINK("http://продеталь.рф/search.html?article=8100023","8100023")</f>
        <v>8100023</v>
      </c>
      <c r="D1522" t="s">
        <v>4</v>
      </c>
    </row>
    <row r="1523" spans="1:4" outlineLevel="1" x14ac:dyDescent="0.25">
      <c r="A1523" t="s">
        <v>234</v>
      </c>
      <c r="B1523" t="s">
        <v>24</v>
      </c>
      <c r="C1523" s="1" t="str">
        <f>HYPERLINK("http://продеталь.рф/search.html?article=22054005","22054005")</f>
        <v>22054005</v>
      </c>
      <c r="D1523" t="s">
        <v>49</v>
      </c>
    </row>
    <row r="1524" spans="1:4" outlineLevel="1" x14ac:dyDescent="0.25">
      <c r="A1524" t="s">
        <v>234</v>
      </c>
      <c r="B1524" t="s">
        <v>3</v>
      </c>
      <c r="C1524" s="1" t="str">
        <f>HYPERLINK("http://продеталь.рф/search.html?article=203586452","203586452")</f>
        <v>203586452</v>
      </c>
      <c r="D1524" t="s">
        <v>4</v>
      </c>
    </row>
    <row r="1525" spans="1:4" outlineLevel="1" x14ac:dyDescent="0.25">
      <c r="A1525" t="s">
        <v>234</v>
      </c>
      <c r="B1525" t="s">
        <v>28</v>
      </c>
      <c r="C1525" s="1" t="str">
        <f>HYPERLINK("http://продеталь.рф/search.html?article=RA62053","RA62053")</f>
        <v>RA62053</v>
      </c>
      <c r="D1525" t="s">
        <v>6</v>
      </c>
    </row>
    <row r="1526" spans="1:4" outlineLevel="1" x14ac:dyDescent="0.25">
      <c r="A1526" t="s">
        <v>234</v>
      </c>
      <c r="B1526" t="s">
        <v>40</v>
      </c>
      <c r="C1526" s="1" t="str">
        <f>HYPERLINK("http://продеталь.рф/search.html?article=18029","18029")</f>
        <v>18029</v>
      </c>
      <c r="D1526" t="s">
        <v>163</v>
      </c>
    </row>
    <row r="1527" spans="1:4" outlineLevel="1" x14ac:dyDescent="0.25">
      <c r="A1527" t="s">
        <v>234</v>
      </c>
      <c r="B1527" t="s">
        <v>32</v>
      </c>
      <c r="C1527" s="1" t="str">
        <f>HYPERLINK("http://продеталь.рф/search.html?article=31000141","31000141")</f>
        <v>31000141</v>
      </c>
      <c r="D1527" t="s">
        <v>4</v>
      </c>
    </row>
    <row r="1528" spans="1:4" outlineLevel="1" x14ac:dyDescent="0.25">
      <c r="A1528" t="s">
        <v>234</v>
      </c>
      <c r="B1528" t="s">
        <v>32</v>
      </c>
      <c r="C1528" s="1" t="str">
        <f>HYPERLINK("http://продеталь.рф/search.html?article=31000131","31000131")</f>
        <v>31000131</v>
      </c>
      <c r="D1528" t="s">
        <v>4</v>
      </c>
    </row>
    <row r="1529" spans="1:4" x14ac:dyDescent="0.25">
      <c r="A1529" t="s">
        <v>236</v>
      </c>
      <c r="B1529" s="2" t="s">
        <v>236</v>
      </c>
      <c r="C1529" s="2"/>
      <c r="D1529" s="2"/>
    </row>
    <row r="1530" spans="1:4" outlineLevel="1" x14ac:dyDescent="0.25">
      <c r="A1530" t="s">
        <v>236</v>
      </c>
      <c r="B1530" t="s">
        <v>15</v>
      </c>
      <c r="C1530" s="1" t="str">
        <f>HYPERLINK("http://продеталь.рф/search.html?article=388FDD245T","388FDD245T")</f>
        <v>388FDD245T</v>
      </c>
      <c r="D1530" t="s">
        <v>4</v>
      </c>
    </row>
    <row r="1531" spans="1:4" outlineLevel="1" x14ac:dyDescent="0.25">
      <c r="A1531" t="s">
        <v>236</v>
      </c>
      <c r="B1531" t="s">
        <v>1</v>
      </c>
      <c r="C1531" s="1" t="str">
        <f>HYPERLINK("http://продеталь.рф/search.html?article=FDV20150","FDV20150")</f>
        <v>FDV20150</v>
      </c>
      <c r="D1531" t="s">
        <v>9</v>
      </c>
    </row>
    <row r="1532" spans="1:4" outlineLevel="1" x14ac:dyDescent="0.25">
      <c r="A1532" t="s">
        <v>236</v>
      </c>
      <c r="B1532" t="s">
        <v>24</v>
      </c>
      <c r="C1532" s="1" t="str">
        <f>HYPERLINK("http://продеталь.рф/search.html?article=FDV20162","FDV20162")</f>
        <v>FDV20162</v>
      </c>
      <c r="D1532" t="s">
        <v>9</v>
      </c>
    </row>
    <row r="1533" spans="1:4" outlineLevel="1" x14ac:dyDescent="0.25">
      <c r="A1533" t="s">
        <v>236</v>
      </c>
      <c r="B1533" t="s">
        <v>3</v>
      </c>
      <c r="C1533" s="1" t="str">
        <f>HYPERLINK("http://продеталь.рф/search.html?article=205924152","205924152")</f>
        <v>205924152</v>
      </c>
      <c r="D1533" t="s">
        <v>4</v>
      </c>
    </row>
    <row r="1534" spans="1:4" outlineLevel="1" x14ac:dyDescent="0.25">
      <c r="A1534" t="s">
        <v>236</v>
      </c>
      <c r="B1534" t="s">
        <v>12</v>
      </c>
      <c r="C1534" s="1" t="str">
        <f>HYPERLINK("http://продеталь.рф/search.html?article=313601","313601")</f>
        <v>313601</v>
      </c>
      <c r="D1534" t="s">
        <v>61</v>
      </c>
    </row>
    <row r="1535" spans="1:4" x14ac:dyDescent="0.25">
      <c r="A1535" t="s">
        <v>237</v>
      </c>
      <c r="B1535" s="2" t="s">
        <v>237</v>
      </c>
      <c r="C1535" s="2"/>
      <c r="D1535" s="2"/>
    </row>
    <row r="1536" spans="1:4" outlineLevel="1" x14ac:dyDescent="0.25">
      <c r="A1536" t="s">
        <v>237</v>
      </c>
      <c r="B1536" t="s">
        <v>11</v>
      </c>
      <c r="C1536" s="1" t="str">
        <f>HYPERLINK("http://продеталь.рф/search.html?article=FD04266BAN","FD04266BAN")</f>
        <v>FD04266BAN</v>
      </c>
      <c r="D1536" t="s">
        <v>2</v>
      </c>
    </row>
    <row r="1537" spans="1:4" outlineLevel="1" x14ac:dyDescent="0.25">
      <c r="A1537" t="s">
        <v>237</v>
      </c>
      <c r="B1537" t="s">
        <v>15</v>
      </c>
      <c r="C1537" s="1" t="str">
        <f>HYPERLINK("http://продеталь.рф/search.html?article=3100024","3100024")</f>
        <v>3100024</v>
      </c>
      <c r="D1537" t="s">
        <v>4</v>
      </c>
    </row>
    <row r="1538" spans="1:4" outlineLevel="1" x14ac:dyDescent="0.25">
      <c r="A1538" t="s">
        <v>237</v>
      </c>
      <c r="B1538" t="s">
        <v>15</v>
      </c>
      <c r="C1538" s="1" t="str">
        <f>HYPERLINK("http://продеталь.рф/search.html?article=388FDD321T","388FDD321T")</f>
        <v>388FDD321T</v>
      </c>
      <c r="D1538" t="s">
        <v>4</v>
      </c>
    </row>
    <row r="1539" spans="1:4" outlineLevel="1" x14ac:dyDescent="0.25">
      <c r="A1539" t="s">
        <v>237</v>
      </c>
      <c r="B1539" t="s">
        <v>79</v>
      </c>
      <c r="C1539" s="1" t="str">
        <f>HYPERLINK("http://продеталь.рф/search.html?article=8100021","8100021")</f>
        <v>8100021</v>
      </c>
      <c r="D1539" t="s">
        <v>4</v>
      </c>
    </row>
    <row r="1540" spans="1:4" outlineLevel="1" x14ac:dyDescent="0.25">
      <c r="A1540" t="s">
        <v>237</v>
      </c>
      <c r="B1540" t="s">
        <v>1</v>
      </c>
      <c r="C1540" s="1" t="str">
        <f>HYPERLINK("http://продеталь.рф/search.html?article=99658","99658")</f>
        <v>99658</v>
      </c>
      <c r="D1540" t="s">
        <v>36</v>
      </c>
    </row>
    <row r="1541" spans="1:4" outlineLevel="1" x14ac:dyDescent="0.25">
      <c r="A1541" t="s">
        <v>237</v>
      </c>
      <c r="B1541" t="s">
        <v>1</v>
      </c>
      <c r="C1541" s="1" t="str">
        <f>HYPERLINK("http://продеталь.рф/search.html?article=FD20102B","FD20102B")</f>
        <v>FD20102B</v>
      </c>
      <c r="D1541" t="s">
        <v>2</v>
      </c>
    </row>
    <row r="1542" spans="1:4" outlineLevel="1" x14ac:dyDescent="0.25">
      <c r="A1542" t="s">
        <v>237</v>
      </c>
      <c r="B1542" t="s">
        <v>24</v>
      </c>
      <c r="C1542" s="1" t="str">
        <f>HYPERLINK("http://продеталь.рф/search.html?article=FD10131AL","FD10131AL")</f>
        <v>FD10131AL</v>
      </c>
      <c r="D1542" t="s">
        <v>2</v>
      </c>
    </row>
    <row r="1543" spans="1:4" outlineLevel="1" x14ac:dyDescent="0.25">
      <c r="A1543" t="s">
        <v>237</v>
      </c>
      <c r="B1543" t="s">
        <v>24</v>
      </c>
      <c r="C1543" s="1" t="str">
        <f>HYPERLINK("http://продеталь.рф/search.html?article=FD10131AR","FD10131AR")</f>
        <v>FD10131AR</v>
      </c>
      <c r="D1543" t="s">
        <v>2</v>
      </c>
    </row>
    <row r="1544" spans="1:4" outlineLevel="1" x14ac:dyDescent="0.25">
      <c r="A1544" t="s">
        <v>237</v>
      </c>
      <c r="B1544" t="s">
        <v>37</v>
      </c>
      <c r="C1544" s="1" t="str">
        <f>HYPERLINK("http://продеталь.рф/search.html?article=PFD87010L","PFD87010L")</f>
        <v>PFD87010L</v>
      </c>
      <c r="D1544" t="s">
        <v>6</v>
      </c>
    </row>
    <row r="1545" spans="1:4" outlineLevel="1" x14ac:dyDescent="0.25">
      <c r="A1545" t="s">
        <v>237</v>
      </c>
      <c r="B1545" t="s">
        <v>37</v>
      </c>
      <c r="C1545" s="1" t="str">
        <f>HYPERLINK("http://продеталь.рф/search.html?article=1003251","1003251")</f>
        <v>1003251</v>
      </c>
      <c r="D1545" t="s">
        <v>58</v>
      </c>
    </row>
    <row r="1546" spans="1:4" outlineLevel="1" x14ac:dyDescent="0.25">
      <c r="A1546" t="s">
        <v>237</v>
      </c>
      <c r="B1546" t="s">
        <v>37</v>
      </c>
      <c r="C1546" s="1" t="str">
        <f>HYPERLINK("http://продеталь.рф/search.html?article=1003252","1003252")</f>
        <v>1003252</v>
      </c>
      <c r="D1546" t="s">
        <v>58</v>
      </c>
    </row>
    <row r="1547" spans="1:4" outlineLevel="1" x14ac:dyDescent="0.25">
      <c r="A1547" t="s">
        <v>237</v>
      </c>
      <c r="B1547" t="s">
        <v>37</v>
      </c>
      <c r="C1547" s="1" t="str">
        <f>HYPERLINK("http://продеталь.рф/search.html?article=1012211","1012211")</f>
        <v>1012211</v>
      </c>
      <c r="D1547" t="s">
        <v>58</v>
      </c>
    </row>
    <row r="1548" spans="1:4" outlineLevel="1" x14ac:dyDescent="0.25">
      <c r="A1548" t="s">
        <v>237</v>
      </c>
      <c r="B1548" t="s">
        <v>37</v>
      </c>
      <c r="C1548" s="1" t="str">
        <f>HYPERLINK("http://продеталь.рф/search.html?article=1012212","1012212")</f>
        <v>1012212</v>
      </c>
      <c r="D1548" t="s">
        <v>58</v>
      </c>
    </row>
    <row r="1549" spans="1:4" outlineLevel="1" x14ac:dyDescent="0.25">
      <c r="A1549" t="s">
        <v>237</v>
      </c>
      <c r="B1549" t="s">
        <v>38</v>
      </c>
      <c r="C1549" s="1" t="str">
        <f>HYPERLINK("http://продеталь.рф/search.html?article=1003218","1003218")</f>
        <v>1003218</v>
      </c>
      <c r="D1549" t="s">
        <v>58</v>
      </c>
    </row>
    <row r="1550" spans="1:4" outlineLevel="1" x14ac:dyDescent="0.25">
      <c r="A1550" t="s">
        <v>237</v>
      </c>
      <c r="B1550" t="s">
        <v>38</v>
      </c>
      <c r="C1550" s="1" t="str">
        <f>HYPERLINK("http://продеталь.рф/search.html?article=1003219","1003219")</f>
        <v>1003219</v>
      </c>
      <c r="D1550" t="s">
        <v>58</v>
      </c>
    </row>
    <row r="1551" spans="1:4" outlineLevel="1" x14ac:dyDescent="0.25">
      <c r="A1551" t="s">
        <v>237</v>
      </c>
      <c r="B1551" t="s">
        <v>38</v>
      </c>
      <c r="C1551" s="1" t="str">
        <f>HYPERLINK("http://продеталь.рф/search.html?article=1012218","1012218")</f>
        <v>1012218</v>
      </c>
      <c r="D1551" t="s">
        <v>58</v>
      </c>
    </row>
    <row r="1552" spans="1:4" outlineLevel="1" x14ac:dyDescent="0.25">
      <c r="A1552" t="s">
        <v>237</v>
      </c>
      <c r="B1552" t="s">
        <v>38</v>
      </c>
      <c r="C1552" s="1" t="str">
        <f>HYPERLINK("http://продеталь.рф/search.html?article=1012219","1012219")</f>
        <v>1012219</v>
      </c>
      <c r="D1552" t="s">
        <v>58</v>
      </c>
    </row>
    <row r="1553" spans="1:4" outlineLevel="1" x14ac:dyDescent="0.25">
      <c r="A1553" t="s">
        <v>237</v>
      </c>
      <c r="B1553" t="s">
        <v>3</v>
      </c>
      <c r="C1553" s="1" t="str">
        <f>HYPERLINK("http://продеталь.рф/search.html?article=200847052","200847052")</f>
        <v>200847052</v>
      </c>
      <c r="D1553" t="s">
        <v>4</v>
      </c>
    </row>
    <row r="1554" spans="1:4" outlineLevel="1" x14ac:dyDescent="0.25">
      <c r="A1554" t="s">
        <v>237</v>
      </c>
      <c r="B1554" t="s">
        <v>3</v>
      </c>
      <c r="C1554" s="1" t="str">
        <f>HYPERLINK("http://продеталь.рф/search.html?article=200848052","200848052")</f>
        <v>200848052</v>
      </c>
      <c r="D1554" t="s">
        <v>4</v>
      </c>
    </row>
    <row r="1555" spans="1:4" outlineLevel="1" x14ac:dyDescent="0.25">
      <c r="A1555" t="s">
        <v>237</v>
      </c>
      <c r="B1555" t="s">
        <v>40</v>
      </c>
      <c r="C1555" s="1" t="str">
        <f>HYPERLINK("http://продеталь.рф/search.html?article=313802","313802")</f>
        <v>313802</v>
      </c>
      <c r="D1555" t="s">
        <v>61</v>
      </c>
    </row>
    <row r="1556" spans="1:4" outlineLevel="1" x14ac:dyDescent="0.25">
      <c r="A1556" t="s">
        <v>237</v>
      </c>
      <c r="B1556" t="s">
        <v>40</v>
      </c>
      <c r="C1556" s="1" t="str">
        <f>HYPERLINK("http://продеталь.рф/search.html?article=313810","313810")</f>
        <v>313810</v>
      </c>
      <c r="D1556" t="s">
        <v>61</v>
      </c>
    </row>
    <row r="1557" spans="1:4" outlineLevel="1" x14ac:dyDescent="0.25">
      <c r="A1557" t="s">
        <v>237</v>
      </c>
      <c r="B1557" t="s">
        <v>40</v>
      </c>
      <c r="C1557" s="1" t="str">
        <f>HYPERLINK("http://продеталь.рф/search.html?article=1012718","1012718")</f>
        <v>1012718</v>
      </c>
      <c r="D1557" t="s">
        <v>58</v>
      </c>
    </row>
    <row r="1558" spans="1:4" outlineLevel="1" x14ac:dyDescent="0.25">
      <c r="A1558" t="s">
        <v>237</v>
      </c>
      <c r="B1558" t="s">
        <v>40</v>
      </c>
      <c r="C1558" s="1" t="str">
        <f>HYPERLINK("http://продеталь.рф/search.html?article=PFD99159CBL","PFD99159CBL")</f>
        <v>PFD99159CBL</v>
      </c>
      <c r="D1558" t="s">
        <v>6</v>
      </c>
    </row>
    <row r="1559" spans="1:4" outlineLevel="1" x14ac:dyDescent="0.25">
      <c r="A1559" t="s">
        <v>237</v>
      </c>
      <c r="B1559" t="s">
        <v>40</v>
      </c>
      <c r="C1559" s="1" t="str">
        <f>HYPERLINK("http://продеталь.рф/search.html?article=1012710","1012710")</f>
        <v>1012710</v>
      </c>
      <c r="D1559" t="s">
        <v>58</v>
      </c>
    </row>
    <row r="1560" spans="1:4" outlineLevel="1" x14ac:dyDescent="0.25">
      <c r="A1560" t="s">
        <v>237</v>
      </c>
      <c r="B1560" t="s">
        <v>40</v>
      </c>
      <c r="C1560" s="1" t="str">
        <f>HYPERLINK("http://продеталь.рф/search.html?article=FD99159CALN","FD99159CALN")</f>
        <v>FD99159CALN</v>
      </c>
      <c r="D1560" t="s">
        <v>2</v>
      </c>
    </row>
    <row r="1561" spans="1:4" outlineLevel="1" x14ac:dyDescent="0.25">
      <c r="A1561" t="s">
        <v>237</v>
      </c>
      <c r="B1561" t="s">
        <v>71</v>
      </c>
      <c r="C1561" s="1" t="str">
        <f>HYPERLINK("http://продеталь.рф/search.html?article=PFD05060VA","PFD05060VA")</f>
        <v>PFD05060VA</v>
      </c>
      <c r="D1561" t="s">
        <v>2</v>
      </c>
    </row>
    <row r="1562" spans="1:4" outlineLevel="1" x14ac:dyDescent="0.25">
      <c r="A1562" t="s">
        <v>237</v>
      </c>
      <c r="B1562" t="s">
        <v>13</v>
      </c>
      <c r="C1562" s="1" t="str">
        <f>HYPERLINK("http://продеталь.рф/search.html?article=PFD44027A","PFD44027A")</f>
        <v>PFD44027A</v>
      </c>
      <c r="D1562" t="s">
        <v>6</v>
      </c>
    </row>
    <row r="1563" spans="1:4" x14ac:dyDescent="0.25">
      <c r="A1563" t="s">
        <v>238</v>
      </c>
      <c r="B1563" s="2" t="s">
        <v>238</v>
      </c>
      <c r="C1563" s="2"/>
      <c r="D1563" s="2"/>
    </row>
    <row r="1564" spans="1:4" outlineLevel="1" x14ac:dyDescent="0.25">
      <c r="A1564" t="s">
        <v>238</v>
      </c>
      <c r="B1564" t="s">
        <v>11</v>
      </c>
      <c r="C1564" s="1" t="str">
        <f>HYPERLINK("http://продеталь.рф/search.html?article=FD11400003000","FD11400003000")</f>
        <v>FD11400003000</v>
      </c>
      <c r="D1564" t="s">
        <v>9</v>
      </c>
    </row>
    <row r="1565" spans="1:4" outlineLevel="1" x14ac:dyDescent="0.25">
      <c r="A1565" t="s">
        <v>238</v>
      </c>
      <c r="B1565" t="s">
        <v>239</v>
      </c>
      <c r="C1565" s="1" t="str">
        <f>HYPERLINK("http://продеталь.рф/search.html?article=PFD33304A","PFD33304A")</f>
        <v>PFD33304A</v>
      </c>
      <c r="D1565" t="s">
        <v>6</v>
      </c>
    </row>
    <row r="1566" spans="1:4" outlineLevel="1" x14ac:dyDescent="0.25">
      <c r="A1566" t="s">
        <v>238</v>
      </c>
      <c r="B1566" t="s">
        <v>101</v>
      </c>
      <c r="C1566" s="1" t="str">
        <f>HYPERLINK("http://продеталь.рф/search.html?article=PFD99014CA","PFD99014CA")</f>
        <v>PFD99014CA</v>
      </c>
      <c r="D1566" t="s">
        <v>6</v>
      </c>
    </row>
    <row r="1567" spans="1:4" outlineLevel="1" x14ac:dyDescent="0.25">
      <c r="A1567" t="s">
        <v>238</v>
      </c>
      <c r="B1567" t="s">
        <v>240</v>
      </c>
      <c r="C1567" s="1" t="str">
        <f>HYPERLINK("http://продеталь.рф/search.html?article=VFDM1106DR","VFDM1106DR")</f>
        <v>VFDM1106DR</v>
      </c>
      <c r="D1567" t="s">
        <v>6</v>
      </c>
    </row>
    <row r="1568" spans="1:4" outlineLevel="1" x14ac:dyDescent="0.25">
      <c r="A1568" t="s">
        <v>238</v>
      </c>
      <c r="B1568" t="s">
        <v>27</v>
      </c>
      <c r="C1568" s="1" t="str">
        <f>HYPERLINK("http://продеталь.рф/search.html?article=FD03025B","FD03025B")</f>
        <v>FD03025B</v>
      </c>
      <c r="D1568" t="s">
        <v>2</v>
      </c>
    </row>
    <row r="1569" spans="1:4" outlineLevel="1" x14ac:dyDescent="0.25">
      <c r="A1569" t="s">
        <v>238</v>
      </c>
      <c r="B1569" t="s">
        <v>5</v>
      </c>
      <c r="C1569" s="1" t="str">
        <f>HYPERLINK("http://продеталь.рф/search.html?article=FD114016L0L00","FD114016L0L00")</f>
        <v>FD114016L0L00</v>
      </c>
      <c r="D1569" t="s">
        <v>9</v>
      </c>
    </row>
    <row r="1570" spans="1:4" outlineLevel="1" x14ac:dyDescent="0.25">
      <c r="A1570" t="s">
        <v>238</v>
      </c>
      <c r="B1570" t="s">
        <v>5</v>
      </c>
      <c r="C1570" s="1" t="str">
        <f>HYPERLINK("http://продеталь.рф/search.html?article=FD114016L0R00","FD114016L0R00")</f>
        <v>FD114016L0R00</v>
      </c>
      <c r="D1570" t="s">
        <v>9</v>
      </c>
    </row>
    <row r="1571" spans="1:4" outlineLevel="1" x14ac:dyDescent="0.25">
      <c r="A1571" t="s">
        <v>238</v>
      </c>
      <c r="B1571" t="s">
        <v>30</v>
      </c>
      <c r="C1571" s="1" t="str">
        <f>HYPERLINK("http://продеталь.рф/search.html?article=PFD99186CARK","PFD99186CARK")</f>
        <v>PFD99186CARK</v>
      </c>
      <c r="D1571" t="s">
        <v>6</v>
      </c>
    </row>
    <row r="1572" spans="1:4" outlineLevel="1" x14ac:dyDescent="0.25">
      <c r="A1572" t="s">
        <v>238</v>
      </c>
      <c r="B1572" t="s">
        <v>30</v>
      </c>
      <c r="C1572" s="1" t="str">
        <f>HYPERLINK("http://продеталь.рф/search.html?article=PFD99186CALK","PFD99186CALK")</f>
        <v>PFD99186CALK</v>
      </c>
      <c r="D1572" t="s">
        <v>6</v>
      </c>
    </row>
    <row r="1573" spans="1:4" outlineLevel="1" x14ac:dyDescent="0.25">
      <c r="A1573" t="s">
        <v>238</v>
      </c>
      <c r="B1573" t="s">
        <v>71</v>
      </c>
      <c r="C1573" s="1" t="str">
        <f>HYPERLINK("http://продеталь.рф/search.html?article=PFD05083VA","PFD05083VA")</f>
        <v>PFD05083VA</v>
      </c>
      <c r="D1573" t="s">
        <v>6</v>
      </c>
    </row>
    <row r="1574" spans="1:4" outlineLevel="1" x14ac:dyDescent="0.25">
      <c r="A1574" t="s">
        <v>238</v>
      </c>
      <c r="B1574" t="s">
        <v>32</v>
      </c>
      <c r="C1574" s="1" t="str">
        <f>HYPERLINK("http://продеталь.рф/search.html?article=388FDG426HA","388FDG426HA")</f>
        <v>388FDG426HA</v>
      </c>
      <c r="D1574" t="s">
        <v>4</v>
      </c>
    </row>
    <row r="1575" spans="1:4" outlineLevel="1" x14ac:dyDescent="0.25">
      <c r="A1575" t="s">
        <v>238</v>
      </c>
      <c r="B1575" t="s">
        <v>32</v>
      </c>
      <c r="C1575" s="1" t="str">
        <f>HYPERLINK("http://продеталь.рф/search.html?article=388FDG425HA","388FDG425HA")</f>
        <v>388FDG425HA</v>
      </c>
      <c r="D1575" t="s">
        <v>4</v>
      </c>
    </row>
    <row r="1576" spans="1:4" x14ac:dyDescent="0.25">
      <c r="A1576" t="s">
        <v>241</v>
      </c>
      <c r="B1576" s="2" t="s">
        <v>241</v>
      </c>
      <c r="C1576" s="2"/>
      <c r="D1576" s="2"/>
    </row>
    <row r="1577" spans="1:4" outlineLevel="1" x14ac:dyDescent="0.25">
      <c r="A1577" t="s">
        <v>241</v>
      </c>
      <c r="B1577" t="s">
        <v>15</v>
      </c>
      <c r="C1577" s="1" t="str">
        <f>HYPERLINK("http://продеталь.рф/search.html?article=3100032","3100032")</f>
        <v>3100032</v>
      </c>
      <c r="D1577" t="s">
        <v>4</v>
      </c>
    </row>
    <row r="1578" spans="1:4" outlineLevel="1" x14ac:dyDescent="0.25">
      <c r="A1578" t="s">
        <v>241</v>
      </c>
      <c r="B1578" t="s">
        <v>15</v>
      </c>
      <c r="C1578" s="1" t="str">
        <f>HYPERLINK("http://продеталь.рф/search.html?article=3100028","3100028")</f>
        <v>3100028</v>
      </c>
      <c r="D1578" t="s">
        <v>4</v>
      </c>
    </row>
    <row r="1579" spans="1:4" outlineLevel="1" x14ac:dyDescent="0.25">
      <c r="A1579" t="s">
        <v>241</v>
      </c>
      <c r="B1579" t="s">
        <v>15</v>
      </c>
      <c r="C1579" s="1" t="str">
        <f>HYPERLINK("http://продеталь.рф/search.html?article=3100027","3100027")</f>
        <v>3100027</v>
      </c>
      <c r="D1579" t="s">
        <v>4</v>
      </c>
    </row>
    <row r="1580" spans="1:4" outlineLevel="1" x14ac:dyDescent="0.25">
      <c r="A1580" t="s">
        <v>241</v>
      </c>
      <c r="B1580" t="s">
        <v>239</v>
      </c>
      <c r="C1580" s="1" t="str">
        <f>HYPERLINK("http://продеталь.рф/search.html?article=PFD33300A","PFD33300A")</f>
        <v>PFD33300A</v>
      </c>
      <c r="D1580" t="s">
        <v>6</v>
      </c>
    </row>
    <row r="1581" spans="1:4" outlineLevel="1" x14ac:dyDescent="0.25">
      <c r="A1581" t="s">
        <v>241</v>
      </c>
      <c r="B1581" t="s">
        <v>79</v>
      </c>
      <c r="C1581" s="1" t="str">
        <f>HYPERLINK("http://продеталь.рф/search.html?article=FD06100401000","FD06100401000")</f>
        <v>FD06100401000</v>
      </c>
      <c r="D1581" t="s">
        <v>9</v>
      </c>
    </row>
    <row r="1582" spans="1:4" outlineLevel="1" x14ac:dyDescent="0.25">
      <c r="A1582" t="s">
        <v>241</v>
      </c>
      <c r="B1582" t="s">
        <v>79</v>
      </c>
      <c r="C1582" s="1" t="str">
        <f>HYPERLINK("http://продеталь.рф/search.html?article=8100017","8100017")</f>
        <v>8100017</v>
      </c>
      <c r="D1582" t="s">
        <v>4</v>
      </c>
    </row>
    <row r="1583" spans="1:4" outlineLevel="1" x14ac:dyDescent="0.25">
      <c r="A1583" t="s">
        <v>241</v>
      </c>
      <c r="B1583" t="s">
        <v>74</v>
      </c>
      <c r="C1583" s="1" t="str">
        <f>HYPERLINK("http://продеталь.рф/search.html?article=8100016","8100016")</f>
        <v>8100016</v>
      </c>
      <c r="D1583" t="s">
        <v>4</v>
      </c>
    </row>
    <row r="1584" spans="1:4" outlineLevel="1" x14ac:dyDescent="0.25">
      <c r="A1584" t="s">
        <v>241</v>
      </c>
      <c r="B1584" t="s">
        <v>101</v>
      </c>
      <c r="C1584" s="1" t="str">
        <f>HYPERLINK("http://продеталь.рф/search.html?article=058030","058030")</f>
        <v>058030</v>
      </c>
      <c r="D1584" t="s">
        <v>163</v>
      </c>
    </row>
    <row r="1585" spans="1:4" outlineLevel="1" x14ac:dyDescent="0.25">
      <c r="A1585" t="s">
        <v>241</v>
      </c>
      <c r="B1585" t="s">
        <v>45</v>
      </c>
      <c r="C1585" s="1" t="str">
        <f>HYPERLINK("http://продеталь.рф/search.html?article=2532581","2532581")</f>
        <v>2532581</v>
      </c>
      <c r="D1585" t="s">
        <v>46</v>
      </c>
    </row>
    <row r="1586" spans="1:4" outlineLevel="1" x14ac:dyDescent="0.25">
      <c r="A1586" t="s">
        <v>241</v>
      </c>
      <c r="B1586" t="s">
        <v>45</v>
      </c>
      <c r="C1586" s="1" t="str">
        <f>HYPERLINK("http://продеталь.рф/search.html?article=2532582","2532582")</f>
        <v>2532582</v>
      </c>
      <c r="D1586" t="s">
        <v>46</v>
      </c>
    </row>
    <row r="1587" spans="1:4" outlineLevel="1" x14ac:dyDescent="0.25">
      <c r="A1587" t="s">
        <v>241</v>
      </c>
      <c r="B1587" t="s">
        <v>45</v>
      </c>
      <c r="C1587" s="1" t="str">
        <f>HYPERLINK("http://продеталь.рф/search.html?article=2532583","2532583")</f>
        <v>2532583</v>
      </c>
      <c r="D1587" t="s">
        <v>46</v>
      </c>
    </row>
    <row r="1588" spans="1:4" outlineLevel="1" x14ac:dyDescent="0.25">
      <c r="A1588" t="s">
        <v>241</v>
      </c>
      <c r="B1588" t="s">
        <v>45</v>
      </c>
      <c r="C1588" s="1" t="str">
        <f>HYPERLINK("http://продеталь.рф/search.html?article=2532584","2532584")</f>
        <v>2532584</v>
      </c>
      <c r="D1588" t="s">
        <v>46</v>
      </c>
    </row>
    <row r="1589" spans="1:4" outlineLevel="1" x14ac:dyDescent="0.25">
      <c r="A1589" t="s">
        <v>241</v>
      </c>
      <c r="B1589" t="s">
        <v>35</v>
      </c>
      <c r="C1589" s="1" t="str">
        <f>HYPERLINK("http://продеталь.рф/search.html?article=FD60002A","FD60002A")</f>
        <v>FD60002A</v>
      </c>
      <c r="D1589" t="s">
        <v>2</v>
      </c>
    </row>
    <row r="1590" spans="1:4" outlineLevel="1" x14ac:dyDescent="0.25">
      <c r="A1590" t="s">
        <v>241</v>
      </c>
      <c r="B1590" t="s">
        <v>84</v>
      </c>
      <c r="C1590" s="1" t="str">
        <f>HYPERLINK("http://продеталь.рф/search.html?article=FD061000U0L00","FD061000U0L00")</f>
        <v>FD061000U0L00</v>
      </c>
      <c r="D1590" t="s">
        <v>9</v>
      </c>
    </row>
    <row r="1591" spans="1:4" outlineLevel="1" x14ac:dyDescent="0.25">
      <c r="A1591" t="s">
        <v>241</v>
      </c>
      <c r="B1591" t="s">
        <v>84</v>
      </c>
      <c r="C1591" s="1" t="str">
        <f>HYPERLINK("http://продеталь.рф/search.html?article=FD061000U0R00","FD061000U0R00")</f>
        <v>FD061000U0R00</v>
      </c>
      <c r="D1591" t="s">
        <v>9</v>
      </c>
    </row>
    <row r="1592" spans="1:4" outlineLevel="1" x14ac:dyDescent="0.25">
      <c r="A1592" t="s">
        <v>241</v>
      </c>
      <c r="B1592" t="s">
        <v>84</v>
      </c>
      <c r="C1592" s="1" t="str">
        <f>HYPERLINK("http://продеталь.рф/search.html?article=073503","073503")</f>
        <v>073503</v>
      </c>
      <c r="D1592" t="s">
        <v>165</v>
      </c>
    </row>
    <row r="1593" spans="1:4" outlineLevel="1" x14ac:dyDescent="0.25">
      <c r="A1593" t="s">
        <v>241</v>
      </c>
      <c r="B1593" t="s">
        <v>24</v>
      </c>
      <c r="C1593" s="1" t="str">
        <f>HYPERLINK("http://продеталь.рф/search.html?article=FDA50162","FDA50162")</f>
        <v>FDA50162</v>
      </c>
      <c r="D1593" t="s">
        <v>9</v>
      </c>
    </row>
    <row r="1594" spans="1:4" outlineLevel="1" x14ac:dyDescent="0.25">
      <c r="A1594" t="s">
        <v>241</v>
      </c>
      <c r="B1594" t="s">
        <v>240</v>
      </c>
      <c r="C1594" s="1" t="str">
        <f>HYPERLINK("http://продеталь.рф/search.html?article=388FDC241","388FDC241")</f>
        <v>388FDC241</v>
      </c>
      <c r="D1594" t="s">
        <v>4</v>
      </c>
    </row>
    <row r="1595" spans="1:4" outlineLevel="1" x14ac:dyDescent="0.25">
      <c r="A1595" t="s">
        <v>241</v>
      </c>
      <c r="B1595" t="s">
        <v>37</v>
      </c>
      <c r="C1595" s="1" t="str">
        <f>HYPERLINK("http://продеталь.рф/search.html?article=1002251","1002251")</f>
        <v>1002251</v>
      </c>
      <c r="D1595" t="s">
        <v>58</v>
      </c>
    </row>
    <row r="1596" spans="1:4" outlineLevel="1" x14ac:dyDescent="0.25">
      <c r="A1596" t="s">
        <v>241</v>
      </c>
      <c r="B1596" t="s">
        <v>37</v>
      </c>
      <c r="C1596" s="1" t="str">
        <f>HYPERLINK("http://продеталь.рф/search.html?article=1002254","1002254")</f>
        <v>1002254</v>
      </c>
      <c r="D1596" t="s">
        <v>58</v>
      </c>
    </row>
    <row r="1597" spans="1:4" outlineLevel="1" x14ac:dyDescent="0.25">
      <c r="A1597" t="s">
        <v>241</v>
      </c>
      <c r="B1597" t="s">
        <v>37</v>
      </c>
      <c r="C1597" s="1" t="str">
        <f>HYPERLINK("http://продеталь.рф/search.html?article=1002255","1002255")</f>
        <v>1002255</v>
      </c>
      <c r="D1597" t="s">
        <v>58</v>
      </c>
    </row>
    <row r="1598" spans="1:4" outlineLevel="1" x14ac:dyDescent="0.25">
      <c r="A1598" t="s">
        <v>241</v>
      </c>
      <c r="B1598" t="s">
        <v>37</v>
      </c>
      <c r="C1598" s="1" t="str">
        <f>HYPERLINK("http://продеталь.рф/search.html?article=1002252","1002252")</f>
        <v>1002252</v>
      </c>
      <c r="D1598" t="s">
        <v>58</v>
      </c>
    </row>
    <row r="1599" spans="1:4" outlineLevel="1" x14ac:dyDescent="0.25">
      <c r="A1599" t="s">
        <v>241</v>
      </c>
      <c r="B1599" t="s">
        <v>27</v>
      </c>
      <c r="C1599" s="1" t="str">
        <f>HYPERLINK("http://продеталь.рф/search.html?article=FDA50090","FDA50090")</f>
        <v>FDA50090</v>
      </c>
      <c r="D1599" t="s">
        <v>9</v>
      </c>
    </row>
    <row r="1600" spans="1:4" outlineLevel="1" x14ac:dyDescent="0.25">
      <c r="A1600" t="s">
        <v>241</v>
      </c>
      <c r="B1600" t="s">
        <v>3</v>
      </c>
      <c r="C1600" s="1" t="str">
        <f>HYPERLINK("http://продеталь.рф/search.html?article=205676082","205676082")</f>
        <v>205676082</v>
      </c>
      <c r="D1600" t="s">
        <v>4</v>
      </c>
    </row>
    <row r="1601" spans="1:4" outlineLevel="1" x14ac:dyDescent="0.25">
      <c r="A1601" t="s">
        <v>241</v>
      </c>
      <c r="B1601" t="s">
        <v>3</v>
      </c>
      <c r="C1601" s="1" t="str">
        <f>HYPERLINK("http://продеталь.рф/search.html?article=205675082","205675082")</f>
        <v>205675082</v>
      </c>
      <c r="D1601" t="s">
        <v>4</v>
      </c>
    </row>
    <row r="1602" spans="1:4" outlineLevel="1" x14ac:dyDescent="0.25">
      <c r="A1602" t="s">
        <v>241</v>
      </c>
      <c r="B1602" t="s">
        <v>3</v>
      </c>
      <c r="C1602" s="1" t="str">
        <f>HYPERLINK("http://продеталь.рф/search.html?article=205828051","205828051")</f>
        <v>205828051</v>
      </c>
      <c r="D1602" t="s">
        <v>4</v>
      </c>
    </row>
    <row r="1603" spans="1:4" outlineLevel="1" x14ac:dyDescent="0.25">
      <c r="A1603" t="s">
        <v>241</v>
      </c>
      <c r="B1603" t="s">
        <v>3</v>
      </c>
      <c r="C1603" s="1" t="str">
        <f>HYPERLINK("http://продеталь.рф/search.html?article=205827051","205827051")</f>
        <v>205827051</v>
      </c>
      <c r="D1603" t="s">
        <v>4</v>
      </c>
    </row>
    <row r="1604" spans="1:4" outlineLevel="1" x14ac:dyDescent="0.25">
      <c r="A1604" t="s">
        <v>241</v>
      </c>
      <c r="B1604" t="s">
        <v>139</v>
      </c>
      <c r="C1604" s="1" t="str">
        <f>HYPERLINK("http://продеталь.рф/search.html?article=FD21090AL","FD21090AL")</f>
        <v>FD21090AL</v>
      </c>
      <c r="D1604" t="s">
        <v>2</v>
      </c>
    </row>
    <row r="1605" spans="1:4" outlineLevel="1" x14ac:dyDescent="0.25">
      <c r="A1605" t="s">
        <v>241</v>
      </c>
      <c r="B1605" t="s">
        <v>139</v>
      </c>
      <c r="C1605" s="1" t="str">
        <f>HYPERLINK("http://продеталь.рф/search.html?article=FD21090AR","FD21090AR")</f>
        <v>FD21090AR</v>
      </c>
      <c r="D1605" t="s">
        <v>2</v>
      </c>
    </row>
    <row r="1606" spans="1:4" outlineLevel="1" x14ac:dyDescent="0.25">
      <c r="A1606" t="s">
        <v>241</v>
      </c>
      <c r="B1606" t="s">
        <v>5</v>
      </c>
      <c r="C1606" s="1" t="str">
        <f>HYPERLINK("http://продеталь.рф/search.html?article=210531","210531")</f>
        <v>210531</v>
      </c>
      <c r="D1606" t="s">
        <v>21</v>
      </c>
    </row>
    <row r="1607" spans="1:4" outlineLevel="1" x14ac:dyDescent="0.25">
      <c r="A1607" t="s">
        <v>241</v>
      </c>
      <c r="B1607" t="s">
        <v>5</v>
      </c>
      <c r="C1607" s="1" t="str">
        <f>HYPERLINK("http://продеталь.рф/search.html?article=210532","210532")</f>
        <v>210532</v>
      </c>
      <c r="D1607" t="s">
        <v>21</v>
      </c>
    </row>
    <row r="1608" spans="1:4" outlineLevel="1" x14ac:dyDescent="0.25">
      <c r="A1608" t="s">
        <v>241</v>
      </c>
      <c r="B1608" t="s">
        <v>242</v>
      </c>
      <c r="C1608" s="1" t="str">
        <f>HYPERLINK("http://продеталь.рф/search.html?article=ZFD1703","ZFD1703")</f>
        <v>ZFD1703</v>
      </c>
      <c r="D1608" t="s">
        <v>6</v>
      </c>
    </row>
    <row r="1609" spans="1:4" outlineLevel="1" x14ac:dyDescent="0.25">
      <c r="A1609" t="s">
        <v>241</v>
      </c>
      <c r="B1609" t="s">
        <v>19</v>
      </c>
      <c r="C1609" s="1" t="str">
        <f>HYPERLINK("http://продеталь.рф/search.html?article=195315052","195315052")</f>
        <v>195315052</v>
      </c>
      <c r="D1609" t="s">
        <v>4</v>
      </c>
    </row>
    <row r="1610" spans="1:4" outlineLevel="1" x14ac:dyDescent="0.25">
      <c r="A1610" t="s">
        <v>241</v>
      </c>
      <c r="B1610" t="s">
        <v>19</v>
      </c>
      <c r="C1610" s="1" t="str">
        <f>HYPERLINK("http://продеталь.рф/search.html?article=190306012","190306012")</f>
        <v>190306012</v>
      </c>
      <c r="D1610" t="s">
        <v>4</v>
      </c>
    </row>
    <row r="1611" spans="1:4" outlineLevel="1" x14ac:dyDescent="0.25">
      <c r="A1611" t="s">
        <v>241</v>
      </c>
      <c r="B1611" t="s">
        <v>19</v>
      </c>
      <c r="C1611" s="1" t="str">
        <f>HYPERLINK("http://продеталь.рф/search.html?article=ZFD2905KRL","ZFD2905KRL")</f>
        <v>ZFD2905KRL</v>
      </c>
      <c r="D1611" t="s">
        <v>6</v>
      </c>
    </row>
    <row r="1612" spans="1:4" outlineLevel="1" x14ac:dyDescent="0.25">
      <c r="A1612" t="s">
        <v>241</v>
      </c>
      <c r="B1612" t="s">
        <v>28</v>
      </c>
      <c r="C1612" s="1" t="str">
        <f>HYPERLINK("http://продеталь.рф/search.html?article=RA62073AA","RA62073AA")</f>
        <v>RA62073AA</v>
      </c>
      <c r="D1612" t="s">
        <v>6</v>
      </c>
    </row>
    <row r="1613" spans="1:4" outlineLevel="1" x14ac:dyDescent="0.25">
      <c r="A1613" t="s">
        <v>241</v>
      </c>
      <c r="B1613" t="s">
        <v>28</v>
      </c>
      <c r="C1613" s="1" t="str">
        <f>HYPERLINK("http://продеталь.рф/search.html?article=RA62074A","RA62074A")</f>
        <v>RA62074A</v>
      </c>
      <c r="D1613" t="s">
        <v>6</v>
      </c>
    </row>
    <row r="1614" spans="1:4" outlineLevel="1" x14ac:dyDescent="0.25">
      <c r="A1614" t="s">
        <v>241</v>
      </c>
      <c r="B1614" t="s">
        <v>28</v>
      </c>
      <c r="C1614" s="1" t="str">
        <f>HYPERLINK("http://продеталь.рф/search.html?article=RA62052Q","RA62052Q")</f>
        <v>RA62052Q</v>
      </c>
      <c r="D1614" t="s">
        <v>6</v>
      </c>
    </row>
    <row r="1615" spans="1:4" outlineLevel="1" x14ac:dyDescent="0.25">
      <c r="A1615" t="s">
        <v>241</v>
      </c>
      <c r="B1615" t="s">
        <v>243</v>
      </c>
      <c r="C1615" s="1" t="str">
        <f>HYPERLINK("http://продеталь.рф/search.html?article=AK1121573","AK1121573")</f>
        <v>AK1121573</v>
      </c>
      <c r="D1615" t="s">
        <v>244</v>
      </c>
    </row>
    <row r="1616" spans="1:4" outlineLevel="1" x14ac:dyDescent="0.25">
      <c r="A1616" t="s">
        <v>241</v>
      </c>
      <c r="B1616" t="s">
        <v>40</v>
      </c>
      <c r="C1616" s="1" t="str">
        <f>HYPERLINK("http://продеталь.рф/search.html?article=313502","313502")</f>
        <v>313502</v>
      </c>
      <c r="D1616" t="s">
        <v>61</v>
      </c>
    </row>
    <row r="1617" spans="1:4" outlineLevel="1" x14ac:dyDescent="0.25">
      <c r="A1617" t="s">
        <v>241</v>
      </c>
      <c r="B1617" t="s">
        <v>40</v>
      </c>
      <c r="C1617" s="1" t="str">
        <f>HYPERLINK("http://продеталь.рф/search.html?article=FD99129GA","FD99129GA")</f>
        <v>FD99129GA</v>
      </c>
      <c r="D1617" t="s">
        <v>2</v>
      </c>
    </row>
    <row r="1618" spans="1:4" outlineLevel="1" x14ac:dyDescent="0.25">
      <c r="A1618" t="s">
        <v>241</v>
      </c>
      <c r="B1618" t="s">
        <v>12</v>
      </c>
      <c r="C1618" s="1" t="str">
        <f>HYPERLINK("http://продеталь.рф/search.html?article=8307","8307")</f>
        <v>8307</v>
      </c>
      <c r="D1618" t="s">
        <v>36</v>
      </c>
    </row>
    <row r="1619" spans="1:4" outlineLevel="1" x14ac:dyDescent="0.25">
      <c r="A1619" t="s">
        <v>241</v>
      </c>
      <c r="B1619" t="s">
        <v>64</v>
      </c>
      <c r="C1619" s="1" t="str">
        <f>HYPERLINK("http://продеталь.рф/search.html?article=12515600","12515600")</f>
        <v>12515600</v>
      </c>
      <c r="D1619" t="s">
        <v>4</v>
      </c>
    </row>
    <row r="1620" spans="1:4" outlineLevel="1" x14ac:dyDescent="0.25">
      <c r="A1620" t="s">
        <v>241</v>
      </c>
      <c r="B1620" t="s">
        <v>64</v>
      </c>
      <c r="C1620" s="1" t="str">
        <f>HYPERLINK("http://продеталь.рф/search.html?article=12515500","12515500")</f>
        <v>12515500</v>
      </c>
      <c r="D1620" t="s">
        <v>4</v>
      </c>
    </row>
    <row r="1621" spans="1:4" outlineLevel="1" x14ac:dyDescent="0.25">
      <c r="A1621" t="s">
        <v>241</v>
      </c>
      <c r="B1621" t="s">
        <v>75</v>
      </c>
      <c r="C1621" s="1" t="str">
        <f>HYPERLINK("http://продеталь.рф/search.html?article=185759001","185759001")</f>
        <v>185759001</v>
      </c>
      <c r="D1621" t="s">
        <v>4</v>
      </c>
    </row>
    <row r="1622" spans="1:4" outlineLevel="1" x14ac:dyDescent="0.25">
      <c r="A1622" t="s">
        <v>241</v>
      </c>
      <c r="B1622" t="s">
        <v>75</v>
      </c>
      <c r="C1622" s="1" t="str">
        <f>HYPERLINK("http://продеталь.рф/search.html?article=185759002","185759002")</f>
        <v>185759002</v>
      </c>
      <c r="D1622" t="s">
        <v>4</v>
      </c>
    </row>
    <row r="1623" spans="1:4" outlineLevel="1" x14ac:dyDescent="0.25">
      <c r="A1623" t="s">
        <v>241</v>
      </c>
      <c r="B1623" t="s">
        <v>13</v>
      </c>
      <c r="C1623" s="1" t="str">
        <f>HYPERLINK("http://продеталь.рф/search.html?article=FDA50270","FDA50270")</f>
        <v>FDA50270</v>
      </c>
      <c r="D1623" t="s">
        <v>9</v>
      </c>
    </row>
    <row r="1624" spans="1:4" x14ac:dyDescent="0.25">
      <c r="A1624" t="s">
        <v>245</v>
      </c>
      <c r="B1624" s="2" t="s">
        <v>245</v>
      </c>
      <c r="C1624" s="2"/>
      <c r="D1624" s="2"/>
    </row>
    <row r="1625" spans="1:4" outlineLevel="1" x14ac:dyDescent="0.25">
      <c r="A1625" t="s">
        <v>245</v>
      </c>
      <c r="B1625" t="s">
        <v>11</v>
      </c>
      <c r="C1625" s="1" t="str">
        <f>HYPERLINK("http://продеталь.рф/search.html?article=1001110","1001110")</f>
        <v>1001110</v>
      </c>
      <c r="D1625" t="s">
        <v>58</v>
      </c>
    </row>
    <row r="1626" spans="1:4" outlineLevel="1" x14ac:dyDescent="0.25">
      <c r="A1626" t="s">
        <v>245</v>
      </c>
      <c r="B1626" t="s">
        <v>15</v>
      </c>
      <c r="C1626" s="1" t="str">
        <f>HYPERLINK("http://продеталь.рф/search.html?article=FD06194103R00","FD06194103R00")</f>
        <v>FD06194103R00</v>
      </c>
      <c r="D1626" t="s">
        <v>9</v>
      </c>
    </row>
    <row r="1627" spans="1:4" outlineLevel="1" x14ac:dyDescent="0.25">
      <c r="A1627" t="s">
        <v>245</v>
      </c>
      <c r="B1627" t="s">
        <v>74</v>
      </c>
      <c r="C1627" s="1" t="str">
        <f>HYPERLINK("http://продеталь.рф/search.html?article=FDA5004T0","FDA5004T0")</f>
        <v>FDA5004T0</v>
      </c>
      <c r="D1627" t="s">
        <v>9</v>
      </c>
    </row>
    <row r="1628" spans="1:4" outlineLevel="1" x14ac:dyDescent="0.25">
      <c r="A1628" t="s">
        <v>245</v>
      </c>
      <c r="B1628" t="s">
        <v>23</v>
      </c>
      <c r="C1628" s="1" t="str">
        <f>HYPERLINK("http://продеталь.рф/search.html?article=115376B11A","115376B11A")</f>
        <v>115376B11A</v>
      </c>
      <c r="D1628" t="s">
        <v>4</v>
      </c>
    </row>
    <row r="1629" spans="1:4" outlineLevel="1" x14ac:dyDescent="0.25">
      <c r="A1629" t="s">
        <v>245</v>
      </c>
      <c r="B1629" t="s">
        <v>23</v>
      </c>
      <c r="C1629" s="1" t="str">
        <f>HYPERLINK("http://продеталь.рф/search.html?article=115375B11A","115375B11A")</f>
        <v>115375B11A</v>
      </c>
      <c r="D1629" t="s">
        <v>4</v>
      </c>
    </row>
    <row r="1630" spans="1:4" outlineLevel="1" x14ac:dyDescent="0.25">
      <c r="A1630" t="s">
        <v>245</v>
      </c>
      <c r="B1630" t="s">
        <v>103</v>
      </c>
      <c r="C1630" s="1" t="str">
        <f>HYPERLINK("http://продеталь.рф/search.html?article=RF4171","RF4171")</f>
        <v>RF4171</v>
      </c>
      <c r="D1630" t="s">
        <v>2</v>
      </c>
    </row>
    <row r="1631" spans="1:4" outlineLevel="1" x14ac:dyDescent="0.25">
      <c r="A1631" t="s">
        <v>245</v>
      </c>
      <c r="B1631" t="s">
        <v>26</v>
      </c>
      <c r="C1631" s="1" t="str">
        <f>HYPERLINK("http://продеталь.рф/search.html?article=1001712","1001712")</f>
        <v>1001712</v>
      </c>
      <c r="D1631" t="s">
        <v>58</v>
      </c>
    </row>
    <row r="1632" spans="1:4" outlineLevel="1" x14ac:dyDescent="0.25">
      <c r="A1632" t="s">
        <v>245</v>
      </c>
      <c r="B1632" t="s">
        <v>26</v>
      </c>
      <c r="C1632" s="1" t="str">
        <f>HYPERLINK("http://продеталь.рф/search.html?article=1001711","1001711")</f>
        <v>1001711</v>
      </c>
      <c r="D1632" t="s">
        <v>58</v>
      </c>
    </row>
    <row r="1633" spans="1:4" outlineLevel="1" x14ac:dyDescent="0.25">
      <c r="A1633" t="s">
        <v>245</v>
      </c>
      <c r="B1633" t="s">
        <v>3</v>
      </c>
      <c r="C1633" s="1" t="str">
        <f>HYPERLINK("http://продеталь.рф/search.html?article=206348052","206348052")</f>
        <v>206348052</v>
      </c>
      <c r="D1633" t="s">
        <v>4</v>
      </c>
    </row>
    <row r="1634" spans="1:4" outlineLevel="1" x14ac:dyDescent="0.25">
      <c r="A1634" t="s">
        <v>245</v>
      </c>
      <c r="B1634" t="s">
        <v>3</v>
      </c>
      <c r="C1634" s="1" t="str">
        <f>HYPERLINK("http://продеталь.рф/search.html?article=206347052","206347052")</f>
        <v>206347052</v>
      </c>
      <c r="D1634" t="s">
        <v>4</v>
      </c>
    </row>
    <row r="1635" spans="1:4" outlineLevel="1" x14ac:dyDescent="0.25">
      <c r="A1635" t="s">
        <v>245</v>
      </c>
      <c r="B1635" t="s">
        <v>19</v>
      </c>
      <c r="C1635" s="1" t="str">
        <f>HYPERLINK("http://продеталь.рф/search.html?article=190828012","190828012")</f>
        <v>190828012</v>
      </c>
      <c r="D1635" t="s">
        <v>4</v>
      </c>
    </row>
    <row r="1636" spans="1:4" outlineLevel="1" x14ac:dyDescent="0.25">
      <c r="A1636" t="s">
        <v>245</v>
      </c>
      <c r="B1636" t="s">
        <v>8</v>
      </c>
      <c r="C1636" s="1" t="str">
        <f>HYPERLINK("http://продеталь.рф/search.html?article=6100003","6100003")</f>
        <v>6100003</v>
      </c>
      <c r="D1636" t="s">
        <v>4</v>
      </c>
    </row>
    <row r="1637" spans="1:4" outlineLevel="1" x14ac:dyDescent="0.25">
      <c r="A1637" t="s">
        <v>245</v>
      </c>
      <c r="B1637" t="s">
        <v>246</v>
      </c>
      <c r="C1637" s="1" t="str">
        <f>HYPERLINK("http://продеталь.рф/search.html?article=1001718","1001718")</f>
        <v>1001718</v>
      </c>
      <c r="D1637" t="s">
        <v>58</v>
      </c>
    </row>
    <row r="1638" spans="1:4" outlineLevel="1" x14ac:dyDescent="0.25">
      <c r="A1638" t="s">
        <v>245</v>
      </c>
      <c r="B1638" t="s">
        <v>246</v>
      </c>
      <c r="C1638" s="1" t="str">
        <f>HYPERLINK("http://продеталь.рф/search.html?article=1001717","1001717")</f>
        <v>1001717</v>
      </c>
      <c r="D1638" t="s">
        <v>58</v>
      </c>
    </row>
    <row r="1639" spans="1:4" outlineLevel="1" x14ac:dyDescent="0.25">
      <c r="A1639" t="s">
        <v>245</v>
      </c>
      <c r="B1639" t="s">
        <v>13</v>
      </c>
      <c r="C1639" s="1" t="str">
        <f>HYPERLINK("http://продеталь.рф/search.html?article=FD061000R0000","FD061000R0000")</f>
        <v>FD061000R0000</v>
      </c>
      <c r="D1639" t="s">
        <v>9</v>
      </c>
    </row>
    <row r="1640" spans="1:4" outlineLevel="1" x14ac:dyDescent="0.25">
      <c r="A1640" t="s">
        <v>245</v>
      </c>
      <c r="B1640" t="s">
        <v>13</v>
      </c>
      <c r="C1640" s="1" t="str">
        <f>HYPERLINK("http://продеталь.рф/search.html?article=FDA5027A0","FDA5027A0")</f>
        <v>FDA5027A0</v>
      </c>
      <c r="D1640" t="s">
        <v>9</v>
      </c>
    </row>
    <row r="1641" spans="1:4" x14ac:dyDescent="0.25">
      <c r="A1641" t="s">
        <v>247</v>
      </c>
      <c r="B1641" s="2" t="s">
        <v>247</v>
      </c>
      <c r="C1641" s="2"/>
      <c r="D1641" s="2"/>
    </row>
    <row r="1642" spans="1:4" outlineLevel="1" x14ac:dyDescent="0.25">
      <c r="A1642" t="s">
        <v>247</v>
      </c>
      <c r="B1642" t="s">
        <v>11</v>
      </c>
      <c r="C1642" s="1" t="str">
        <f>HYPERLINK("http://продеталь.рф/search.html?article=FD04220BA","FD04220BA")</f>
        <v>FD04220BA</v>
      </c>
      <c r="D1642" t="s">
        <v>2</v>
      </c>
    </row>
    <row r="1643" spans="1:4" outlineLevel="1" x14ac:dyDescent="0.25">
      <c r="A1643" t="s">
        <v>247</v>
      </c>
      <c r="B1643" t="s">
        <v>11</v>
      </c>
      <c r="C1643" s="1" t="str">
        <f>HYPERLINK("http://продеталь.рф/search.html?article=FD04221BA","FD04221BA")</f>
        <v>FD04221BA</v>
      </c>
      <c r="D1643" t="s">
        <v>2</v>
      </c>
    </row>
    <row r="1644" spans="1:4" outlineLevel="1" x14ac:dyDescent="0.25">
      <c r="A1644" t="s">
        <v>247</v>
      </c>
      <c r="B1644" t="s">
        <v>11</v>
      </c>
      <c r="C1644" s="1" t="str">
        <f>HYPERLINK("http://продеталь.рф/search.html?article=FDA5087B0","FDA5087B0")</f>
        <v>FDA5087B0</v>
      </c>
      <c r="D1644" t="s">
        <v>9</v>
      </c>
    </row>
    <row r="1645" spans="1:4" outlineLevel="1" x14ac:dyDescent="0.25">
      <c r="A1645" t="s">
        <v>247</v>
      </c>
      <c r="B1645" t="s">
        <v>11</v>
      </c>
      <c r="C1645" s="1" t="str">
        <f>HYPERLINK("http://продеталь.рф/search.html?article=PFD04234BA","PFD04234BA")</f>
        <v>PFD04234BA</v>
      </c>
      <c r="D1645" t="s">
        <v>6</v>
      </c>
    </row>
    <row r="1646" spans="1:4" outlineLevel="1" x14ac:dyDescent="0.25">
      <c r="A1646" t="s">
        <v>247</v>
      </c>
      <c r="B1646" t="s">
        <v>15</v>
      </c>
      <c r="C1646" s="1" t="str">
        <f>HYPERLINK("http://продеталь.рф/search.html?article=FDA5941EG1","FDA5941EG1")</f>
        <v>FDA5941EG1</v>
      </c>
      <c r="D1646" t="s">
        <v>9</v>
      </c>
    </row>
    <row r="1647" spans="1:4" outlineLevel="1" x14ac:dyDescent="0.25">
      <c r="A1647" t="s">
        <v>247</v>
      </c>
      <c r="B1647" t="s">
        <v>15</v>
      </c>
      <c r="C1647" s="1" t="str">
        <f>HYPERLINK("http://продеталь.рф/search.html?article=3100079","3100079")</f>
        <v>3100079</v>
      </c>
      <c r="D1647" t="s">
        <v>4</v>
      </c>
    </row>
    <row r="1648" spans="1:4" outlineLevel="1" x14ac:dyDescent="0.25">
      <c r="A1648" t="s">
        <v>247</v>
      </c>
      <c r="B1648" t="s">
        <v>15</v>
      </c>
      <c r="C1648" s="1" t="str">
        <f>HYPERLINK("http://продеталь.рф/search.html?article=388FDD318TPL","388FDD318TPL")</f>
        <v>388FDD318TPL</v>
      </c>
      <c r="D1648" t="s">
        <v>4</v>
      </c>
    </row>
    <row r="1649" spans="1:4" outlineLevel="1" x14ac:dyDescent="0.25">
      <c r="A1649" t="s">
        <v>247</v>
      </c>
      <c r="B1649" t="s">
        <v>239</v>
      </c>
      <c r="C1649" s="1" t="str">
        <f>HYPERLINK("http://продеталь.рф/search.html?article=PFD33302KA","PFD33302KA")</f>
        <v>PFD33302KA</v>
      </c>
      <c r="D1649" t="s">
        <v>6</v>
      </c>
    </row>
    <row r="1650" spans="1:4" outlineLevel="1" x14ac:dyDescent="0.25">
      <c r="A1650" t="s">
        <v>247</v>
      </c>
      <c r="B1650" t="s">
        <v>79</v>
      </c>
      <c r="C1650" s="1" t="str">
        <f>HYPERLINK("http://продеталь.рф/search.html?article=RDFD62004S0","RDFD62004S0")</f>
        <v>RDFD62004S0</v>
      </c>
      <c r="D1650" t="s">
        <v>6</v>
      </c>
    </row>
    <row r="1651" spans="1:4" outlineLevel="1" x14ac:dyDescent="0.25">
      <c r="A1651" t="s">
        <v>247</v>
      </c>
      <c r="B1651" t="s">
        <v>23</v>
      </c>
      <c r="C1651" s="1" t="str">
        <f>HYPERLINK("http://продеталь.рф/search.html?article=FD1925KL","FD1925KL")</f>
        <v>FD1925KL</v>
      </c>
      <c r="D1651" t="s">
        <v>6</v>
      </c>
    </row>
    <row r="1652" spans="1:4" outlineLevel="1" x14ac:dyDescent="0.25">
      <c r="A1652" t="s">
        <v>247</v>
      </c>
      <c r="B1652" t="s">
        <v>23</v>
      </c>
      <c r="C1652" s="1" t="str">
        <f>HYPERLINK("http://продеталь.рф/search.html?article=FD1925KR","FD1925KR")</f>
        <v>FD1925KR</v>
      </c>
      <c r="D1652" t="s">
        <v>6</v>
      </c>
    </row>
    <row r="1653" spans="1:4" outlineLevel="1" x14ac:dyDescent="0.25">
      <c r="A1653" t="s">
        <v>247</v>
      </c>
      <c r="B1653" t="s">
        <v>35</v>
      </c>
      <c r="C1653" s="1" t="str">
        <f>HYPERLINK("http://продеталь.рф/search.html?article=FDA5025C0","FDA5025C0")</f>
        <v>FDA5025C0</v>
      </c>
      <c r="D1653" t="s">
        <v>9</v>
      </c>
    </row>
    <row r="1654" spans="1:4" outlineLevel="1" x14ac:dyDescent="0.25">
      <c r="A1654" t="s">
        <v>247</v>
      </c>
      <c r="B1654" t="s">
        <v>160</v>
      </c>
      <c r="C1654" s="1" t="str">
        <f>HYPERLINK("http://продеталь.рф/search.html?article=FDA5025B0","FDA5025B0")</f>
        <v>FDA5025B0</v>
      </c>
      <c r="D1654" t="s">
        <v>9</v>
      </c>
    </row>
    <row r="1655" spans="1:4" outlineLevel="1" x14ac:dyDescent="0.25">
      <c r="A1655" t="s">
        <v>247</v>
      </c>
      <c r="B1655" t="s">
        <v>1</v>
      </c>
      <c r="C1655" s="1" t="str">
        <f>HYPERLINK("http://продеталь.рф/search.html?article=FD06101502000","FD06101502000")</f>
        <v>FD06101502000</v>
      </c>
      <c r="D1655" t="s">
        <v>9</v>
      </c>
    </row>
    <row r="1656" spans="1:4" outlineLevel="1" x14ac:dyDescent="0.25">
      <c r="A1656" t="s">
        <v>247</v>
      </c>
      <c r="B1656" t="s">
        <v>1</v>
      </c>
      <c r="C1656" s="1" t="str">
        <f>HYPERLINK("http://продеталь.рф/search.html?article=PFD20122A","PFD20122A")</f>
        <v>PFD20122A</v>
      </c>
      <c r="D1656" t="s">
        <v>6</v>
      </c>
    </row>
    <row r="1657" spans="1:4" outlineLevel="1" x14ac:dyDescent="0.25">
      <c r="A1657" t="s">
        <v>247</v>
      </c>
      <c r="B1657" t="s">
        <v>248</v>
      </c>
      <c r="C1657" s="1" t="str">
        <f>HYPERLINK("http://продеталь.рф/search.html?article=PFD25001KA","PFD25001KA")</f>
        <v>PFD25001KA</v>
      </c>
      <c r="D1657" t="s">
        <v>6</v>
      </c>
    </row>
    <row r="1658" spans="1:4" outlineLevel="1" x14ac:dyDescent="0.25">
      <c r="A1658" t="s">
        <v>247</v>
      </c>
      <c r="B1658" t="s">
        <v>249</v>
      </c>
      <c r="C1658" s="1" t="str">
        <f>HYPERLINK("http://продеталь.рф/search.html?article=PFD26001KA","PFD26001KA")</f>
        <v>PFD26001KA</v>
      </c>
      <c r="D1658" t="s">
        <v>6</v>
      </c>
    </row>
    <row r="1659" spans="1:4" outlineLevel="1" x14ac:dyDescent="0.25">
      <c r="A1659" t="s">
        <v>247</v>
      </c>
      <c r="B1659" t="s">
        <v>249</v>
      </c>
      <c r="C1659" s="1" t="str">
        <f>HYPERLINK("http://продеталь.рф/search.html?article=PFD26002KA","PFD26002KA")</f>
        <v>PFD26002KA</v>
      </c>
      <c r="D1659" t="s">
        <v>6</v>
      </c>
    </row>
    <row r="1660" spans="1:4" outlineLevel="1" x14ac:dyDescent="0.25">
      <c r="A1660" t="s">
        <v>247</v>
      </c>
      <c r="B1660" t="s">
        <v>84</v>
      </c>
      <c r="C1660" s="1" t="str">
        <f>HYPERLINK("http://продеталь.рф/search.html?article=073506","073506")</f>
        <v>073506</v>
      </c>
      <c r="D1660" t="s">
        <v>165</v>
      </c>
    </row>
    <row r="1661" spans="1:4" outlineLevel="1" x14ac:dyDescent="0.25">
      <c r="A1661" t="s">
        <v>247</v>
      </c>
      <c r="B1661" t="s">
        <v>24</v>
      </c>
      <c r="C1661" s="1" t="str">
        <f>HYPERLINK("http://продеталь.рф/search.html?article=PFD10142AL","PFD10142AL")</f>
        <v>PFD10142AL</v>
      </c>
      <c r="D1661" t="s">
        <v>6</v>
      </c>
    </row>
    <row r="1662" spans="1:4" outlineLevel="1" x14ac:dyDescent="0.25">
      <c r="A1662" t="s">
        <v>247</v>
      </c>
      <c r="B1662" t="s">
        <v>24</v>
      </c>
      <c r="C1662" s="1" t="str">
        <f>HYPERLINK("http://продеталь.рф/search.html?article=PFD10142AR","PFD10142AR")</f>
        <v>PFD10142AR</v>
      </c>
      <c r="D1662" t="s">
        <v>6</v>
      </c>
    </row>
    <row r="1663" spans="1:4" outlineLevel="1" x14ac:dyDescent="0.25">
      <c r="A1663" t="s">
        <v>247</v>
      </c>
      <c r="B1663" t="s">
        <v>24</v>
      </c>
      <c r="C1663" s="1" t="str">
        <f>HYPERLINK("http://продеталь.рф/search.html?article=FDA5016C1","FDA5016C1")</f>
        <v>FDA5016C1</v>
      </c>
      <c r="D1663" t="s">
        <v>9</v>
      </c>
    </row>
    <row r="1664" spans="1:4" outlineLevel="1" x14ac:dyDescent="0.25">
      <c r="A1664" t="s">
        <v>247</v>
      </c>
      <c r="B1664" t="s">
        <v>103</v>
      </c>
      <c r="C1664" s="1" t="str">
        <f>HYPERLINK("http://продеталь.рф/search.html?article=FDA5219CB2","FDA5219CB2")</f>
        <v>FDA5219CB2</v>
      </c>
      <c r="D1664" t="s">
        <v>9</v>
      </c>
    </row>
    <row r="1665" spans="1:4" outlineLevel="1" x14ac:dyDescent="0.25">
      <c r="A1665" t="s">
        <v>247</v>
      </c>
      <c r="B1665" t="s">
        <v>103</v>
      </c>
      <c r="C1665" s="1" t="str">
        <f>HYPERLINK("http://продеталь.рф/search.html?article=PFD99154KCBL","PFD99154KCBL")</f>
        <v>PFD99154KCBL</v>
      </c>
      <c r="D1665" t="s">
        <v>6</v>
      </c>
    </row>
    <row r="1666" spans="1:4" outlineLevel="1" x14ac:dyDescent="0.25">
      <c r="A1666" t="s">
        <v>247</v>
      </c>
      <c r="B1666" t="s">
        <v>103</v>
      </c>
      <c r="C1666" s="1" t="str">
        <f>HYPERLINK("http://продеталь.рф/search.html?article=PFD99154KCBR","PFD99154KCBR")</f>
        <v>PFD99154KCBR</v>
      </c>
      <c r="D1666" t="s">
        <v>6</v>
      </c>
    </row>
    <row r="1667" spans="1:4" outlineLevel="1" x14ac:dyDescent="0.25">
      <c r="A1667" t="s">
        <v>247</v>
      </c>
      <c r="B1667" t="s">
        <v>66</v>
      </c>
      <c r="C1667" s="1" t="str">
        <f>HYPERLINK("http://продеталь.рф/search.html?article=BK017","BK017")</f>
        <v>BK017</v>
      </c>
      <c r="D1667" t="s">
        <v>6</v>
      </c>
    </row>
    <row r="1668" spans="1:4" outlineLevel="1" x14ac:dyDescent="0.25">
      <c r="A1668" t="s">
        <v>247</v>
      </c>
      <c r="B1668" t="s">
        <v>250</v>
      </c>
      <c r="C1668" s="1" t="str">
        <f>HYPERLINK("http://продеталь.рф/search.html?article=PFD87003KL","PFD87003KL")</f>
        <v>PFD87003KL</v>
      </c>
      <c r="D1668" t="s">
        <v>6</v>
      </c>
    </row>
    <row r="1669" spans="1:4" outlineLevel="1" x14ac:dyDescent="0.25">
      <c r="A1669" t="s">
        <v>247</v>
      </c>
      <c r="B1669" t="s">
        <v>250</v>
      </c>
      <c r="C1669" s="1" t="str">
        <f>HYPERLINK("http://продеталь.рф/search.html?article=PFD87003KR","PFD87003KR")</f>
        <v>PFD87003KR</v>
      </c>
      <c r="D1669" t="s">
        <v>6</v>
      </c>
    </row>
    <row r="1670" spans="1:4" outlineLevel="1" x14ac:dyDescent="0.25">
      <c r="A1670" t="s">
        <v>247</v>
      </c>
      <c r="B1670" t="s">
        <v>26</v>
      </c>
      <c r="C1670" s="1" t="str">
        <f>HYPERLINK("http://продеталь.рф/search.html?article=FD04220MAL","FD04220MAL")</f>
        <v>FD04220MAL</v>
      </c>
      <c r="D1670" t="s">
        <v>2</v>
      </c>
    </row>
    <row r="1671" spans="1:4" outlineLevel="1" x14ac:dyDescent="0.25">
      <c r="A1671" t="s">
        <v>247</v>
      </c>
      <c r="B1671" t="s">
        <v>26</v>
      </c>
      <c r="C1671" s="1" t="str">
        <f>HYPERLINK("http://продеталь.рф/search.html?article=FD04220MBL","FD04220MBL")</f>
        <v>FD04220MBL</v>
      </c>
      <c r="D1671" t="s">
        <v>2</v>
      </c>
    </row>
    <row r="1672" spans="1:4" outlineLevel="1" x14ac:dyDescent="0.25">
      <c r="A1672" t="s">
        <v>247</v>
      </c>
      <c r="B1672" t="s">
        <v>27</v>
      </c>
      <c r="C1672" s="1" t="str">
        <f>HYPERLINK("http://продеталь.рф/search.html?article=PFD30014KA","PFD30014KA")</f>
        <v>PFD30014KA</v>
      </c>
      <c r="D1672" t="s">
        <v>6</v>
      </c>
    </row>
    <row r="1673" spans="1:4" outlineLevel="1" x14ac:dyDescent="0.25">
      <c r="A1673" t="s">
        <v>247</v>
      </c>
      <c r="B1673" t="s">
        <v>3</v>
      </c>
      <c r="C1673" s="1" t="str">
        <f>HYPERLINK("http://продеталь.рф/search.html?article=206724051","206724051")</f>
        <v>206724051</v>
      </c>
      <c r="D1673" t="s">
        <v>4</v>
      </c>
    </row>
    <row r="1674" spans="1:4" outlineLevel="1" x14ac:dyDescent="0.25">
      <c r="A1674" t="s">
        <v>247</v>
      </c>
      <c r="B1674" t="s">
        <v>3</v>
      </c>
      <c r="C1674" s="1" t="str">
        <f>HYPERLINK("http://продеталь.рф/search.html?article=200963152","200963152")</f>
        <v>200963152</v>
      </c>
      <c r="D1674" t="s">
        <v>4</v>
      </c>
    </row>
    <row r="1675" spans="1:4" outlineLevel="1" x14ac:dyDescent="0.25">
      <c r="A1675" t="s">
        <v>247</v>
      </c>
      <c r="B1675" t="s">
        <v>3</v>
      </c>
      <c r="C1675" s="1" t="str">
        <f>HYPERLINK("http://продеталь.рф/search.html?article=200964052","200964052")</f>
        <v>200964052</v>
      </c>
      <c r="D1675" t="s">
        <v>4</v>
      </c>
    </row>
    <row r="1676" spans="1:4" outlineLevel="1" x14ac:dyDescent="0.25">
      <c r="A1676" t="s">
        <v>247</v>
      </c>
      <c r="B1676" t="s">
        <v>3</v>
      </c>
      <c r="C1676" s="1" t="str">
        <f>HYPERLINK("http://продеталь.рф/search.html?article=200963052","200963052")</f>
        <v>200963052</v>
      </c>
      <c r="D1676" t="s">
        <v>4</v>
      </c>
    </row>
    <row r="1677" spans="1:4" outlineLevel="1" x14ac:dyDescent="0.25">
      <c r="A1677" t="s">
        <v>247</v>
      </c>
      <c r="B1677" t="s">
        <v>139</v>
      </c>
      <c r="C1677" s="1" t="str">
        <f>HYPERLINK("http://продеталь.рф/search.html?article=FD21122AL","FD21122AL")</f>
        <v>FD21122AL</v>
      </c>
      <c r="D1677" t="s">
        <v>2</v>
      </c>
    </row>
    <row r="1678" spans="1:4" outlineLevel="1" x14ac:dyDescent="0.25">
      <c r="A1678" t="s">
        <v>247</v>
      </c>
      <c r="B1678" t="s">
        <v>139</v>
      </c>
      <c r="C1678" s="1" t="str">
        <f>HYPERLINK("http://продеталь.рф/search.html?article=FD21122AR","FD21122AR")</f>
        <v>FD21122AR</v>
      </c>
      <c r="D1678" t="s">
        <v>2</v>
      </c>
    </row>
    <row r="1679" spans="1:4" outlineLevel="1" x14ac:dyDescent="0.25">
      <c r="A1679" t="s">
        <v>247</v>
      </c>
      <c r="B1679" t="s">
        <v>5</v>
      </c>
      <c r="C1679" s="1" t="str">
        <f>HYPERLINK("http://продеталь.рф/search.html?article=210545","210545")</f>
        <v>210545</v>
      </c>
      <c r="D1679" t="s">
        <v>21</v>
      </c>
    </row>
    <row r="1680" spans="1:4" outlineLevel="1" x14ac:dyDescent="0.25">
      <c r="A1680" t="s">
        <v>247</v>
      </c>
      <c r="B1680" t="s">
        <v>5</v>
      </c>
      <c r="C1680" s="1" t="str">
        <f>HYPERLINK("http://продеталь.рф/search.html?article=210546","210546")</f>
        <v>210546</v>
      </c>
      <c r="D1680" t="s">
        <v>21</v>
      </c>
    </row>
    <row r="1681" spans="1:4" outlineLevel="1" x14ac:dyDescent="0.25">
      <c r="A1681" t="s">
        <v>247</v>
      </c>
      <c r="B1681" t="s">
        <v>19</v>
      </c>
      <c r="C1681" s="1" t="str">
        <f>HYPERLINK("http://продеталь.рф/search.html?article=190408001","190408001")</f>
        <v>190408001</v>
      </c>
      <c r="D1681" t="s">
        <v>4</v>
      </c>
    </row>
    <row r="1682" spans="1:4" outlineLevel="1" x14ac:dyDescent="0.25">
      <c r="A1682" t="s">
        <v>247</v>
      </c>
      <c r="B1682" t="s">
        <v>19</v>
      </c>
      <c r="C1682" s="1" t="str">
        <f>HYPERLINK("http://продеталь.рф/search.html?article=190407001","190407001")</f>
        <v>190407001</v>
      </c>
      <c r="D1682" t="s">
        <v>4</v>
      </c>
    </row>
    <row r="1683" spans="1:4" outlineLevel="1" x14ac:dyDescent="0.25">
      <c r="A1683" t="s">
        <v>247</v>
      </c>
      <c r="B1683" t="s">
        <v>8</v>
      </c>
      <c r="C1683" s="1" t="str">
        <f>HYPERLINK("http://продеталь.рф/search.html?article=FDA5394B0","FDA5394B0")</f>
        <v>FDA5394B0</v>
      </c>
      <c r="D1683" t="s">
        <v>9</v>
      </c>
    </row>
    <row r="1684" spans="1:4" outlineLevel="1" x14ac:dyDescent="0.25">
      <c r="A1684" t="s">
        <v>247</v>
      </c>
      <c r="B1684" t="s">
        <v>30</v>
      </c>
      <c r="C1684" s="1" t="str">
        <f>HYPERLINK("http://продеталь.рф/search.html?article=FD061000GAL00","FD061000GAL00")</f>
        <v>FD061000GAL00</v>
      </c>
      <c r="D1684" t="s">
        <v>9</v>
      </c>
    </row>
    <row r="1685" spans="1:4" outlineLevel="1" x14ac:dyDescent="0.25">
      <c r="A1685" t="s">
        <v>247</v>
      </c>
      <c r="B1685" t="s">
        <v>30</v>
      </c>
      <c r="C1685" s="1" t="str">
        <f>HYPERLINK("http://продеталь.рф/search.html?article=FD061000GAR00","FD061000GAR00")</f>
        <v>FD061000GAR00</v>
      </c>
      <c r="D1685" t="s">
        <v>9</v>
      </c>
    </row>
    <row r="1686" spans="1:4" outlineLevel="1" x14ac:dyDescent="0.25">
      <c r="A1686" t="s">
        <v>247</v>
      </c>
      <c r="B1686" t="s">
        <v>12</v>
      </c>
      <c r="C1686" s="1" t="str">
        <f>HYPERLINK("http://продеталь.рф/search.html?article=FD07235GA","FD07235GA")</f>
        <v>FD07235GA</v>
      </c>
      <c r="D1686" t="s">
        <v>2</v>
      </c>
    </row>
    <row r="1687" spans="1:4" outlineLevel="1" x14ac:dyDescent="0.25">
      <c r="A1687" t="s">
        <v>247</v>
      </c>
      <c r="B1687" t="s">
        <v>251</v>
      </c>
      <c r="C1687" s="1" t="str">
        <f>HYPERLINK("http://продеталь.рф/search.html?article=FD061015L3000","FD061015L3000")</f>
        <v>FD061015L3000</v>
      </c>
      <c r="D1687" t="s">
        <v>9</v>
      </c>
    </row>
    <row r="1688" spans="1:4" outlineLevel="1" x14ac:dyDescent="0.25">
      <c r="A1688" t="s">
        <v>247</v>
      </c>
      <c r="B1688" t="s">
        <v>75</v>
      </c>
      <c r="C1688" s="1" t="str">
        <f>HYPERLINK("http://продеталь.рф/search.html?article=ZFD1405N","ZFD1405N")</f>
        <v>ZFD1405N</v>
      </c>
      <c r="D1688" t="s">
        <v>6</v>
      </c>
    </row>
    <row r="1689" spans="1:4" outlineLevel="1" x14ac:dyDescent="0.25">
      <c r="A1689" t="s">
        <v>247</v>
      </c>
      <c r="B1689" t="s">
        <v>13</v>
      </c>
      <c r="C1689" s="1" t="str">
        <f>HYPERLINK("http://продеталь.рф/search.html?article=FD44216A","FD44216A")</f>
        <v>FD44216A</v>
      </c>
      <c r="D1689" t="s">
        <v>2</v>
      </c>
    </row>
    <row r="1690" spans="1:4" outlineLevel="1" x14ac:dyDescent="0.25">
      <c r="A1690" t="s">
        <v>247</v>
      </c>
      <c r="B1690" t="s">
        <v>13</v>
      </c>
      <c r="C1690" s="1" t="str">
        <f>HYPERLINK("http://продеталь.рф/search.html?article=FDA5000RC0","FDA5000RC0")</f>
        <v>FDA5000RC0</v>
      </c>
      <c r="D1690" t="s">
        <v>9</v>
      </c>
    </row>
    <row r="1691" spans="1:4" outlineLevel="1" x14ac:dyDescent="0.25">
      <c r="A1691" t="s">
        <v>247</v>
      </c>
      <c r="B1691" t="s">
        <v>252</v>
      </c>
      <c r="C1691" s="1" t="str">
        <f>HYPERLINK("http://продеталь.рф/search.html?article=PFD05049VAK","PFD05049VAK")</f>
        <v>PFD05049VAK</v>
      </c>
      <c r="D1691" t="s">
        <v>6</v>
      </c>
    </row>
    <row r="1692" spans="1:4" x14ac:dyDescent="0.25">
      <c r="A1692" t="s">
        <v>253</v>
      </c>
      <c r="B1692" s="2" t="s">
        <v>253</v>
      </c>
      <c r="C1692" s="2"/>
      <c r="D1692" s="2"/>
    </row>
    <row r="1693" spans="1:4" outlineLevel="1" x14ac:dyDescent="0.25">
      <c r="A1693" t="s">
        <v>253</v>
      </c>
      <c r="B1693" t="s">
        <v>11</v>
      </c>
      <c r="C1693" s="1" t="str">
        <f>HYPERLINK("http://продеталь.рф/search.html?article=FD04326BA","FD04326BA")</f>
        <v>FD04326BA</v>
      </c>
      <c r="D1693" t="s">
        <v>2</v>
      </c>
    </row>
    <row r="1694" spans="1:4" outlineLevel="1" x14ac:dyDescent="0.25">
      <c r="A1694" t="s">
        <v>253</v>
      </c>
      <c r="B1694" t="s">
        <v>11</v>
      </c>
      <c r="C1694" s="1" t="str">
        <f>HYPERLINK("http://продеталь.рф/search.html?article=PFD04340BA","PFD04340BA")</f>
        <v>PFD04340BA</v>
      </c>
      <c r="D1694" t="s">
        <v>6</v>
      </c>
    </row>
    <row r="1695" spans="1:4" outlineLevel="1" x14ac:dyDescent="0.25">
      <c r="A1695" t="s">
        <v>253</v>
      </c>
      <c r="B1695" t="s">
        <v>15</v>
      </c>
      <c r="C1695" s="1" t="str">
        <f>HYPERLINK("http://продеталь.рф/search.html?article=FD06294103L00","FD06294103L00")</f>
        <v>FD06294103L00</v>
      </c>
      <c r="D1695" t="s">
        <v>9</v>
      </c>
    </row>
    <row r="1696" spans="1:4" outlineLevel="1" x14ac:dyDescent="0.25">
      <c r="A1696" t="s">
        <v>253</v>
      </c>
      <c r="B1696" t="s">
        <v>15</v>
      </c>
      <c r="C1696" s="1" t="str">
        <f>HYPERLINK("http://продеталь.рф/search.html?article=FDM1104ARE","FDM1104ARE")</f>
        <v>FDM1104ARE</v>
      </c>
      <c r="D1696" t="s">
        <v>2</v>
      </c>
    </row>
    <row r="1697" spans="1:4" outlineLevel="1" x14ac:dyDescent="0.25">
      <c r="A1697" t="s">
        <v>253</v>
      </c>
      <c r="B1697" t="s">
        <v>254</v>
      </c>
      <c r="C1697" s="1" t="str">
        <f>HYPERLINK("http://продеталь.рф/search.html?article=PFD00003KA","PFD00003KA")</f>
        <v>PFD00003KA</v>
      </c>
      <c r="D1697" t="s">
        <v>6</v>
      </c>
    </row>
    <row r="1698" spans="1:4" outlineLevel="1" x14ac:dyDescent="0.25">
      <c r="A1698" t="s">
        <v>253</v>
      </c>
      <c r="B1698" t="s">
        <v>79</v>
      </c>
      <c r="C1698" s="1" t="str">
        <f>HYPERLINK("http://продеталь.рф/search.html?article=FD67041A","FD67041A")</f>
        <v>FD67041A</v>
      </c>
      <c r="D1698" t="s">
        <v>2</v>
      </c>
    </row>
    <row r="1699" spans="1:4" outlineLevel="1" x14ac:dyDescent="0.25">
      <c r="A1699" t="s">
        <v>253</v>
      </c>
      <c r="B1699" t="s">
        <v>35</v>
      </c>
      <c r="C1699" s="1" t="str">
        <f>HYPERLINK("http://продеталь.рф/search.html?article=FD06202500000","FD06202500000")</f>
        <v>FD06202500000</v>
      </c>
      <c r="D1699" t="s">
        <v>9</v>
      </c>
    </row>
    <row r="1700" spans="1:4" outlineLevel="1" x14ac:dyDescent="0.25">
      <c r="A1700" t="s">
        <v>253</v>
      </c>
      <c r="B1700" t="s">
        <v>1</v>
      </c>
      <c r="C1700" s="1" t="str">
        <f>HYPERLINK("http://продеталь.рф/search.html?article=FD20145A","FD20145A")</f>
        <v>FD20145A</v>
      </c>
      <c r="D1700" t="s">
        <v>2</v>
      </c>
    </row>
    <row r="1701" spans="1:4" outlineLevel="1" x14ac:dyDescent="0.25">
      <c r="A1701" t="s">
        <v>253</v>
      </c>
      <c r="B1701" t="s">
        <v>248</v>
      </c>
      <c r="C1701" s="1" t="str">
        <f>HYPERLINK("http://продеталь.рф/search.html?article=PFD25002KA","PFD25002KA")</f>
        <v>PFD25002KA</v>
      </c>
      <c r="D1701" t="s">
        <v>6</v>
      </c>
    </row>
    <row r="1702" spans="1:4" outlineLevel="1" x14ac:dyDescent="0.25">
      <c r="A1702" t="s">
        <v>253</v>
      </c>
      <c r="B1702" t="s">
        <v>84</v>
      </c>
      <c r="C1702" s="1" t="str">
        <f>HYPERLINK("http://продеталь.рф/search.html?article=PFD04446KL","PFD04446KL")</f>
        <v>PFD04446KL</v>
      </c>
      <c r="D1702" t="s">
        <v>6</v>
      </c>
    </row>
    <row r="1703" spans="1:4" outlineLevel="1" x14ac:dyDescent="0.25">
      <c r="A1703" t="s">
        <v>253</v>
      </c>
      <c r="B1703" t="s">
        <v>84</v>
      </c>
      <c r="C1703" s="1" t="str">
        <f>HYPERLINK("http://продеталь.рф/search.html?article=PFD04446KR","PFD04446KR")</f>
        <v>PFD04446KR</v>
      </c>
      <c r="D1703" t="s">
        <v>6</v>
      </c>
    </row>
    <row r="1704" spans="1:4" outlineLevel="1" x14ac:dyDescent="0.25">
      <c r="A1704" t="s">
        <v>253</v>
      </c>
      <c r="B1704" t="s">
        <v>84</v>
      </c>
      <c r="C1704" s="1" t="str">
        <f>HYPERLINK("http://продеталь.рф/search.html?article=PFD04449KL","PFD04449KL")</f>
        <v>PFD04449KL</v>
      </c>
      <c r="D1704" t="s">
        <v>6</v>
      </c>
    </row>
    <row r="1705" spans="1:4" outlineLevel="1" x14ac:dyDescent="0.25">
      <c r="A1705" t="s">
        <v>253</v>
      </c>
      <c r="B1705" t="s">
        <v>24</v>
      </c>
      <c r="C1705" s="1" t="str">
        <f>HYPERLINK("http://продеталь.рф/search.html?article=PFD10170AR","PFD10170AR")</f>
        <v>PFD10170AR</v>
      </c>
      <c r="D1705" t="s">
        <v>6</v>
      </c>
    </row>
    <row r="1706" spans="1:4" outlineLevel="1" x14ac:dyDescent="0.25">
      <c r="A1706" t="s">
        <v>253</v>
      </c>
      <c r="B1706" t="s">
        <v>240</v>
      </c>
      <c r="C1706" s="1" t="str">
        <f>HYPERLINK("http://продеталь.рф/search.html?article=388FDC414","388FDC414")</f>
        <v>388FDC414</v>
      </c>
      <c r="D1706" t="s">
        <v>4</v>
      </c>
    </row>
    <row r="1707" spans="1:4" outlineLevel="1" x14ac:dyDescent="0.25">
      <c r="A1707" t="s">
        <v>253</v>
      </c>
      <c r="B1707" t="s">
        <v>240</v>
      </c>
      <c r="C1707" s="1" t="str">
        <f>HYPERLINK("http://продеталь.рф/search.html?article=388FDC413","388FDC413")</f>
        <v>388FDC413</v>
      </c>
      <c r="D1707" t="s">
        <v>4</v>
      </c>
    </row>
    <row r="1708" spans="1:4" outlineLevel="1" x14ac:dyDescent="0.25">
      <c r="A1708" t="s">
        <v>253</v>
      </c>
      <c r="B1708" t="s">
        <v>103</v>
      </c>
      <c r="C1708" s="1" t="str">
        <f>HYPERLINK("http://продеталь.рф/search.html?article=PFD99168CAL","PFD99168CAL")</f>
        <v>PFD99168CAL</v>
      </c>
      <c r="D1708" t="s">
        <v>6</v>
      </c>
    </row>
    <row r="1709" spans="1:4" outlineLevel="1" x14ac:dyDescent="0.25">
      <c r="A1709" t="s">
        <v>253</v>
      </c>
      <c r="B1709" t="s">
        <v>103</v>
      </c>
      <c r="C1709" s="1" t="str">
        <f>HYPERLINK("http://продеталь.рф/search.html?article=PFD99168CAR","PFD99168CAR")</f>
        <v>PFD99168CAR</v>
      </c>
      <c r="D1709" t="s">
        <v>6</v>
      </c>
    </row>
    <row r="1710" spans="1:4" outlineLevel="1" x14ac:dyDescent="0.25">
      <c r="A1710" t="s">
        <v>253</v>
      </c>
      <c r="B1710" t="s">
        <v>3</v>
      </c>
      <c r="C1710" s="1" t="str">
        <f>HYPERLINK("http://продеталь.рф/search.html?article=20B483A52B","20B483A52B")</f>
        <v>20B483A52B</v>
      </c>
      <c r="D1710" t="s">
        <v>4</v>
      </c>
    </row>
    <row r="1711" spans="1:4" outlineLevel="1" x14ac:dyDescent="0.25">
      <c r="A1711" t="s">
        <v>253</v>
      </c>
      <c r="B1711" t="s">
        <v>3</v>
      </c>
      <c r="C1711" s="1" t="str">
        <f>HYPERLINK("http://продеталь.рф/search.html?article=20B484052B","20B484052B")</f>
        <v>20B484052B</v>
      </c>
      <c r="D1711" t="s">
        <v>4</v>
      </c>
    </row>
    <row r="1712" spans="1:4" outlineLevel="1" x14ac:dyDescent="0.25">
      <c r="A1712" t="s">
        <v>253</v>
      </c>
      <c r="B1712" t="s">
        <v>3</v>
      </c>
      <c r="C1712" s="1" t="str">
        <f>HYPERLINK("http://продеталь.рф/search.html?article=20B484A52B","20B484A52B")</f>
        <v>20B484A52B</v>
      </c>
      <c r="D1712" t="s">
        <v>4</v>
      </c>
    </row>
    <row r="1713" spans="1:4" outlineLevel="1" x14ac:dyDescent="0.25">
      <c r="A1713" t="s">
        <v>253</v>
      </c>
      <c r="B1713" t="s">
        <v>3</v>
      </c>
      <c r="C1713" s="1" t="str">
        <f>HYPERLINK("http://продеталь.рф/search.html?article=20B483052B","20B483052B")</f>
        <v>20B483052B</v>
      </c>
      <c r="D1713" t="s">
        <v>4</v>
      </c>
    </row>
    <row r="1714" spans="1:4" outlineLevel="1" x14ac:dyDescent="0.25">
      <c r="A1714" t="s">
        <v>253</v>
      </c>
      <c r="B1714" t="s">
        <v>246</v>
      </c>
      <c r="C1714" s="1" t="str">
        <f>HYPERLINK("http://продеталь.рф/search.html?article=PFD99308MA","PFD99308MA")</f>
        <v>PFD99308MA</v>
      </c>
      <c r="D1714" t="s">
        <v>2</v>
      </c>
    </row>
    <row r="1715" spans="1:4" outlineLevel="1" x14ac:dyDescent="0.25">
      <c r="A1715" t="s">
        <v>253</v>
      </c>
      <c r="B1715" t="s">
        <v>246</v>
      </c>
      <c r="C1715" s="1" t="str">
        <f>HYPERLINK("http://продеталь.рф/search.html?article=PFD99308KMA","PFD99308KMA")</f>
        <v>PFD99308KMA</v>
      </c>
      <c r="D1715" t="s">
        <v>6</v>
      </c>
    </row>
    <row r="1716" spans="1:4" outlineLevel="1" x14ac:dyDescent="0.25">
      <c r="A1716" t="s">
        <v>253</v>
      </c>
      <c r="B1716" t="s">
        <v>30</v>
      </c>
      <c r="C1716" s="1" t="str">
        <f>HYPERLINK("http://продеталь.рф/search.html?article=PFD99176CAR","PFD99176CAR")</f>
        <v>PFD99176CAR</v>
      </c>
      <c r="D1716" t="s">
        <v>6</v>
      </c>
    </row>
    <row r="1717" spans="1:4" outlineLevel="1" x14ac:dyDescent="0.25">
      <c r="A1717" t="s">
        <v>253</v>
      </c>
      <c r="B1717" t="s">
        <v>40</v>
      </c>
      <c r="C1717" s="1" t="str">
        <f>HYPERLINK("http://продеталь.рф/search.html?article=PFD07268GA","PFD07268GA")</f>
        <v>PFD07268GA</v>
      </c>
      <c r="D1717" t="s">
        <v>6</v>
      </c>
    </row>
    <row r="1718" spans="1:4" outlineLevel="1" x14ac:dyDescent="0.25">
      <c r="A1718" t="s">
        <v>253</v>
      </c>
      <c r="B1718" t="s">
        <v>12</v>
      </c>
      <c r="C1718" s="1" t="str">
        <f>HYPERLINK("http://продеталь.рф/search.html?article=PFD07276GB","PFD07276GB")</f>
        <v>PFD07276GB</v>
      </c>
      <c r="D1718" t="s">
        <v>6</v>
      </c>
    </row>
    <row r="1719" spans="1:4" outlineLevel="1" x14ac:dyDescent="0.25">
      <c r="A1719" t="s">
        <v>253</v>
      </c>
      <c r="B1719" t="s">
        <v>13</v>
      </c>
      <c r="C1719" s="1" t="str">
        <f>HYPERLINK("http://продеталь.рф/search.html?article=PFD44239A","PFD44239A")</f>
        <v>PFD44239A</v>
      </c>
      <c r="D1719" t="s">
        <v>6</v>
      </c>
    </row>
    <row r="1720" spans="1:4" x14ac:dyDescent="0.25">
      <c r="A1720" t="s">
        <v>255</v>
      </c>
      <c r="B1720" s="2" t="s">
        <v>255</v>
      </c>
      <c r="C1720" s="2"/>
      <c r="D1720" s="2"/>
    </row>
    <row r="1721" spans="1:4" outlineLevel="1" x14ac:dyDescent="0.25">
      <c r="A1721" t="s">
        <v>255</v>
      </c>
      <c r="B1721" t="s">
        <v>11</v>
      </c>
      <c r="C1721" s="1" t="str">
        <f>HYPERLINK("http://продеталь.рф/search.html?article=PFD04379BAK","PFD04379BAK")</f>
        <v>PFD04379BAK</v>
      </c>
      <c r="D1721" t="s">
        <v>6</v>
      </c>
    </row>
    <row r="1722" spans="1:4" outlineLevel="1" x14ac:dyDescent="0.25">
      <c r="A1722" t="s">
        <v>255</v>
      </c>
      <c r="B1722" t="s">
        <v>23</v>
      </c>
      <c r="C1722" s="1" t="str">
        <f>HYPERLINK("http://продеталь.рф/search.html?article=11B850012B","11B850012B")</f>
        <v>11B850012B</v>
      </c>
      <c r="D1722" t="s">
        <v>4</v>
      </c>
    </row>
    <row r="1723" spans="1:4" outlineLevel="1" x14ac:dyDescent="0.25">
      <c r="A1723" t="s">
        <v>255</v>
      </c>
      <c r="B1723" t="s">
        <v>35</v>
      </c>
      <c r="C1723" s="1" t="str">
        <f>HYPERLINK("http://продеталь.рф/search.html?article=PFD60017A","PFD60017A")</f>
        <v>PFD60017A</v>
      </c>
      <c r="D1723" t="s">
        <v>6</v>
      </c>
    </row>
    <row r="1724" spans="1:4" outlineLevel="1" x14ac:dyDescent="0.25">
      <c r="A1724" t="s">
        <v>255</v>
      </c>
      <c r="B1724" t="s">
        <v>248</v>
      </c>
      <c r="C1724" s="1" t="str">
        <f>HYPERLINK("http://продеталь.рф/search.html?article=PFD25003KA","PFD25003KA")</f>
        <v>PFD25003KA</v>
      </c>
      <c r="D1724" t="s">
        <v>6</v>
      </c>
    </row>
    <row r="1725" spans="1:4" outlineLevel="1" x14ac:dyDescent="0.25">
      <c r="A1725" t="s">
        <v>255</v>
      </c>
      <c r="B1725" t="s">
        <v>84</v>
      </c>
      <c r="C1725" s="1" t="str">
        <f>HYPERLINK("http://продеталь.рф/search.html?article=PFD43291AL","PFD43291AL")</f>
        <v>PFD43291AL</v>
      </c>
      <c r="D1725" t="s">
        <v>6</v>
      </c>
    </row>
    <row r="1726" spans="1:4" outlineLevel="1" x14ac:dyDescent="0.25">
      <c r="A1726" t="s">
        <v>255</v>
      </c>
      <c r="B1726" t="s">
        <v>84</v>
      </c>
      <c r="C1726" s="1" t="str">
        <f>HYPERLINK("http://продеталь.рф/search.html?article=PFD43291AR","PFD43291AR")</f>
        <v>PFD43291AR</v>
      </c>
      <c r="D1726" t="s">
        <v>6</v>
      </c>
    </row>
    <row r="1727" spans="1:4" outlineLevel="1" x14ac:dyDescent="0.25">
      <c r="A1727" t="s">
        <v>255</v>
      </c>
      <c r="B1727" t="s">
        <v>103</v>
      </c>
      <c r="C1727" s="1" t="str">
        <f>HYPERLINK("http://продеталь.рф/search.html?article=PFD99193CALK","PFD99193CALK")</f>
        <v>PFD99193CALK</v>
      </c>
      <c r="D1727" t="s">
        <v>6</v>
      </c>
    </row>
    <row r="1728" spans="1:4" outlineLevel="1" x14ac:dyDescent="0.25">
      <c r="A1728" t="s">
        <v>255</v>
      </c>
      <c r="B1728" t="s">
        <v>66</v>
      </c>
      <c r="C1728" s="1" t="str">
        <f>HYPERLINK("http://продеталь.рф/search.html?article=BK051","BK051")</f>
        <v>BK051</v>
      </c>
      <c r="D1728" t="s">
        <v>6</v>
      </c>
    </row>
    <row r="1729" spans="1:4" outlineLevel="1" x14ac:dyDescent="0.25">
      <c r="A1729" t="s">
        <v>255</v>
      </c>
      <c r="B1729" t="s">
        <v>147</v>
      </c>
      <c r="C1729" s="1" t="str">
        <f>HYPERLINK("http://продеталь.рф/search.html?article=ZFD1610R","ZFD1610R")</f>
        <v>ZFD1610R</v>
      </c>
      <c r="D1729" t="s">
        <v>6</v>
      </c>
    </row>
    <row r="1730" spans="1:4" outlineLevel="1" x14ac:dyDescent="0.25">
      <c r="A1730" t="s">
        <v>255</v>
      </c>
      <c r="B1730" t="s">
        <v>3</v>
      </c>
      <c r="C1730" s="1" t="str">
        <f>HYPERLINK("http://продеталь.рф/search.html?article=20C570052B","20C570052B")</f>
        <v>20C570052B</v>
      </c>
      <c r="D1730" t="s">
        <v>4</v>
      </c>
    </row>
    <row r="1731" spans="1:4" outlineLevel="1" x14ac:dyDescent="0.25">
      <c r="A1731" t="s">
        <v>255</v>
      </c>
      <c r="B1731" t="s">
        <v>3</v>
      </c>
      <c r="C1731" s="1" t="str">
        <f>HYPERLINK("http://продеталь.рф/search.html?article=20C569052B","20C569052B")</f>
        <v>20C569052B</v>
      </c>
      <c r="D1731" t="s">
        <v>4</v>
      </c>
    </row>
    <row r="1732" spans="1:4" outlineLevel="1" x14ac:dyDescent="0.25">
      <c r="A1732" t="s">
        <v>255</v>
      </c>
      <c r="B1732" t="s">
        <v>256</v>
      </c>
      <c r="C1732" s="1" t="str">
        <f>HYPERLINK("http://продеталь.рф/search.html?article=VFDM1107PR","VFDM1107PR")</f>
        <v>VFDM1107PR</v>
      </c>
      <c r="D1732" t="s">
        <v>6</v>
      </c>
    </row>
    <row r="1733" spans="1:4" outlineLevel="1" x14ac:dyDescent="0.25">
      <c r="A1733" t="s">
        <v>255</v>
      </c>
      <c r="B1733" t="s">
        <v>5</v>
      </c>
      <c r="C1733" s="1" t="str">
        <f>HYPERLINK("http://продеталь.рф/search.html?article=PFD11201AL","PFD11201AL")</f>
        <v>PFD11201AL</v>
      </c>
      <c r="D1733" t="s">
        <v>6</v>
      </c>
    </row>
    <row r="1734" spans="1:4" outlineLevel="1" x14ac:dyDescent="0.25">
      <c r="A1734" t="s">
        <v>255</v>
      </c>
      <c r="B1734" t="s">
        <v>5</v>
      </c>
      <c r="C1734" s="1" t="str">
        <f>HYPERLINK("http://продеталь.рф/search.html?article=PFD11201AR","PFD11201AR")</f>
        <v>PFD11201AR</v>
      </c>
      <c r="D1734" t="s">
        <v>6</v>
      </c>
    </row>
    <row r="1735" spans="1:4" outlineLevel="1" x14ac:dyDescent="0.25">
      <c r="A1735" t="s">
        <v>255</v>
      </c>
      <c r="B1735" t="s">
        <v>8</v>
      </c>
      <c r="C1735" s="1" t="str">
        <f>HYPERLINK("http://продеталь.рф/search.html?article=FD39099A","FD39099A")</f>
        <v>FD39099A</v>
      </c>
      <c r="D1735" t="s">
        <v>2</v>
      </c>
    </row>
    <row r="1736" spans="1:4" outlineLevel="1" x14ac:dyDescent="0.25">
      <c r="A1736" t="s">
        <v>255</v>
      </c>
      <c r="B1736" t="s">
        <v>30</v>
      </c>
      <c r="C1736" s="1" t="str">
        <f>HYPERLINK("http://продеталь.рф/search.html?article=PFD99192CALK","PFD99192CALK")</f>
        <v>PFD99192CALK</v>
      </c>
      <c r="D1736" t="s">
        <v>6</v>
      </c>
    </row>
    <row r="1737" spans="1:4" outlineLevel="1" x14ac:dyDescent="0.25">
      <c r="A1737" t="s">
        <v>255</v>
      </c>
      <c r="B1737" t="s">
        <v>30</v>
      </c>
      <c r="C1737" s="1" t="str">
        <f>HYPERLINK("http://продеталь.рф/search.html?article=PFD99192CARK","PFD99192CARK")</f>
        <v>PFD99192CARK</v>
      </c>
      <c r="D1737" t="s">
        <v>6</v>
      </c>
    </row>
    <row r="1738" spans="1:4" outlineLevel="1" x14ac:dyDescent="0.25">
      <c r="A1738" t="s">
        <v>255</v>
      </c>
      <c r="B1738" t="s">
        <v>40</v>
      </c>
      <c r="C1738" s="1" t="str">
        <f>HYPERLINK("http://продеталь.рф/search.html?article=PFD99177GA","PFD99177GA")</f>
        <v>PFD99177GA</v>
      </c>
      <c r="D1738" t="s">
        <v>6</v>
      </c>
    </row>
    <row r="1739" spans="1:4" outlineLevel="1" x14ac:dyDescent="0.25">
      <c r="A1739" t="s">
        <v>255</v>
      </c>
      <c r="B1739" t="s">
        <v>12</v>
      </c>
      <c r="C1739" s="1" t="str">
        <f>HYPERLINK("http://продеталь.рф/search.html?article=PFD07279GAK","PFD07279GAK")</f>
        <v>PFD07279GAK</v>
      </c>
      <c r="D1739" t="s">
        <v>6</v>
      </c>
    </row>
    <row r="1740" spans="1:4" outlineLevel="1" x14ac:dyDescent="0.25">
      <c r="A1740" t="s">
        <v>255</v>
      </c>
      <c r="B1740" t="s">
        <v>71</v>
      </c>
      <c r="C1740" s="1" t="str">
        <f>HYPERLINK("http://продеталь.рф/search.html?article=PFD05096VAL","PFD05096VAL")</f>
        <v>PFD05096VAL</v>
      </c>
      <c r="D1740" t="s">
        <v>6</v>
      </c>
    </row>
    <row r="1741" spans="1:4" outlineLevel="1" x14ac:dyDescent="0.25">
      <c r="A1741" t="s">
        <v>255</v>
      </c>
      <c r="B1741" t="s">
        <v>71</v>
      </c>
      <c r="C1741" s="1" t="str">
        <f>HYPERLINK("http://продеталь.рф/search.html?article=PFD05097VA","PFD05097VA")</f>
        <v>PFD05097VA</v>
      </c>
      <c r="D1741" t="s">
        <v>6</v>
      </c>
    </row>
    <row r="1742" spans="1:4" x14ac:dyDescent="0.25">
      <c r="A1742" t="s">
        <v>257</v>
      </c>
      <c r="B1742" s="2" t="s">
        <v>257</v>
      </c>
      <c r="C1742" s="2"/>
      <c r="D1742" s="2"/>
    </row>
    <row r="1743" spans="1:4" outlineLevel="1" x14ac:dyDescent="0.25">
      <c r="A1743" t="s">
        <v>257</v>
      </c>
      <c r="B1743" t="s">
        <v>15</v>
      </c>
      <c r="C1743" s="1" t="str">
        <f>HYPERLINK("http://продеталь.рф/search.html?article=388FDD313TP","388FDD313TP")</f>
        <v>388FDD313TP</v>
      </c>
      <c r="D1743" t="s">
        <v>4</v>
      </c>
    </row>
    <row r="1744" spans="1:4" outlineLevel="1" x14ac:dyDescent="0.25">
      <c r="A1744" t="s">
        <v>257</v>
      </c>
      <c r="B1744" t="s">
        <v>15</v>
      </c>
      <c r="C1744" s="1" t="str">
        <f>HYPERLINK("http://продеталь.рф/search.html?article=388FDD314TPFL","388FDD314TPFL")</f>
        <v>388FDD314TPFL</v>
      </c>
      <c r="D1744" t="s">
        <v>4</v>
      </c>
    </row>
    <row r="1745" spans="1:4" outlineLevel="1" x14ac:dyDescent="0.25">
      <c r="A1745" t="s">
        <v>257</v>
      </c>
      <c r="B1745" t="s">
        <v>15</v>
      </c>
      <c r="C1745" s="1" t="str">
        <f>HYPERLINK("http://продеталь.рф/search.html?article=388FDD313TPFL","388FDD313TPFL")</f>
        <v>388FDD313TPFL</v>
      </c>
      <c r="D1745" t="s">
        <v>4</v>
      </c>
    </row>
    <row r="1746" spans="1:4" outlineLevel="1" x14ac:dyDescent="0.25">
      <c r="A1746" t="s">
        <v>257</v>
      </c>
      <c r="B1746" t="s">
        <v>24</v>
      </c>
      <c r="C1746" s="1" t="str">
        <f>HYPERLINK("http://продеталь.рф/search.html?article=PFD10150AR","PFD10150AR")</f>
        <v>PFD10150AR</v>
      </c>
      <c r="D1746" t="s">
        <v>6</v>
      </c>
    </row>
    <row r="1747" spans="1:4" outlineLevel="1" x14ac:dyDescent="0.25">
      <c r="A1747" t="s">
        <v>257</v>
      </c>
      <c r="B1747" t="s">
        <v>26</v>
      </c>
      <c r="C1747" s="1" t="str">
        <f>HYPERLINK("http://продеталь.рф/search.html?article=FD04261MALN","FD04261MALN")</f>
        <v>FD04261MALN</v>
      </c>
      <c r="D1747" t="s">
        <v>2</v>
      </c>
    </row>
    <row r="1748" spans="1:4" outlineLevel="1" x14ac:dyDescent="0.25">
      <c r="A1748" t="s">
        <v>257</v>
      </c>
      <c r="B1748" t="s">
        <v>3</v>
      </c>
      <c r="C1748" s="1" t="str">
        <f>HYPERLINK("http://продеталь.рф/search.html?article=20B546052B","20B546052B")</f>
        <v>20B546052B</v>
      </c>
      <c r="D1748" t="s">
        <v>4</v>
      </c>
    </row>
    <row r="1749" spans="1:4" outlineLevel="1" x14ac:dyDescent="0.25">
      <c r="A1749" t="s">
        <v>257</v>
      </c>
      <c r="B1749" t="s">
        <v>3</v>
      </c>
      <c r="C1749" s="1" t="str">
        <f>HYPERLINK("http://продеталь.рф/search.html?article=20B545052B","20B545052B")</f>
        <v>20B545052B</v>
      </c>
      <c r="D1749" t="s">
        <v>4</v>
      </c>
    </row>
    <row r="1750" spans="1:4" outlineLevel="1" x14ac:dyDescent="0.25">
      <c r="A1750" t="s">
        <v>257</v>
      </c>
      <c r="B1750" t="s">
        <v>19</v>
      </c>
      <c r="C1750" s="1" t="str">
        <f>HYPERLINK("http://продеталь.рф/search.html?article=190685012","190685012")</f>
        <v>190685012</v>
      </c>
      <c r="D1750" t="s">
        <v>4</v>
      </c>
    </row>
    <row r="1751" spans="1:4" outlineLevel="1" x14ac:dyDescent="0.25">
      <c r="A1751" t="s">
        <v>257</v>
      </c>
      <c r="B1751" t="s">
        <v>12</v>
      </c>
      <c r="C1751" s="1" t="str">
        <f>HYPERLINK("http://продеталь.рф/search.html?article=PFD07247GA","PFD07247GA")</f>
        <v>PFD07247GA</v>
      </c>
      <c r="D1751" t="s">
        <v>6</v>
      </c>
    </row>
    <row r="1752" spans="1:4" x14ac:dyDescent="0.25">
      <c r="A1752" t="s">
        <v>258</v>
      </c>
      <c r="B1752" s="2" t="s">
        <v>258</v>
      </c>
      <c r="C1752" s="2"/>
      <c r="D1752" s="2"/>
    </row>
    <row r="1753" spans="1:4" outlineLevel="1" x14ac:dyDescent="0.25">
      <c r="A1753" t="s">
        <v>258</v>
      </c>
      <c r="B1753" t="s">
        <v>11</v>
      </c>
      <c r="C1753" s="1" t="str">
        <f>HYPERLINK("http://продеталь.рф/search.html?article=FD04330BA","FD04330BA")</f>
        <v>FD04330BA</v>
      </c>
      <c r="D1753" t="s">
        <v>2</v>
      </c>
    </row>
    <row r="1754" spans="1:4" outlineLevel="1" x14ac:dyDescent="0.25">
      <c r="A1754" t="s">
        <v>258</v>
      </c>
      <c r="B1754" t="s">
        <v>15</v>
      </c>
      <c r="C1754" s="1" t="str">
        <f>HYPERLINK("http://продеталь.рф/search.html?article=3100070","3100070")</f>
        <v>3100070</v>
      </c>
      <c r="D1754" t="s">
        <v>4</v>
      </c>
    </row>
    <row r="1755" spans="1:4" outlineLevel="1" x14ac:dyDescent="0.25">
      <c r="A1755" t="s">
        <v>258</v>
      </c>
      <c r="B1755" t="s">
        <v>15</v>
      </c>
      <c r="C1755" s="1" t="str">
        <f>HYPERLINK("http://продеталь.рф/search.html?article=3100069","3100069")</f>
        <v>3100069</v>
      </c>
      <c r="D1755" t="s">
        <v>4</v>
      </c>
    </row>
    <row r="1756" spans="1:4" outlineLevel="1" x14ac:dyDescent="0.25">
      <c r="A1756" t="s">
        <v>258</v>
      </c>
      <c r="B1756" t="s">
        <v>1</v>
      </c>
      <c r="C1756" s="1" t="str">
        <f>HYPERLINK("http://продеталь.рф/search.html?article=FD20117A","FD20117A")</f>
        <v>FD20117A</v>
      </c>
      <c r="D1756" t="s">
        <v>2</v>
      </c>
    </row>
    <row r="1757" spans="1:4" outlineLevel="1" x14ac:dyDescent="0.25">
      <c r="A1757" t="s">
        <v>258</v>
      </c>
      <c r="B1757" t="s">
        <v>24</v>
      </c>
      <c r="C1757" s="1" t="str">
        <f>HYPERLINK("http://продеталь.рф/search.html?article=FD82101600R00","FD82101600R00")</f>
        <v>FD82101600R00</v>
      </c>
      <c r="D1757" t="s">
        <v>9</v>
      </c>
    </row>
    <row r="1758" spans="1:4" outlineLevel="1" x14ac:dyDescent="0.25">
      <c r="A1758" t="s">
        <v>258</v>
      </c>
      <c r="B1758" t="s">
        <v>37</v>
      </c>
      <c r="C1758" s="1" t="str">
        <f>HYPERLINK("http://продеталь.рф/search.html?article=1062255","1062255")</f>
        <v>1062255</v>
      </c>
      <c r="D1758" t="s">
        <v>58</v>
      </c>
    </row>
    <row r="1759" spans="1:4" outlineLevel="1" x14ac:dyDescent="0.25">
      <c r="A1759" t="s">
        <v>258</v>
      </c>
      <c r="B1759" t="s">
        <v>37</v>
      </c>
      <c r="C1759" s="1" t="str">
        <f>HYPERLINK("http://продеталь.рф/search.html?article=1022251","1022251")</f>
        <v>1022251</v>
      </c>
      <c r="D1759" t="s">
        <v>58</v>
      </c>
    </row>
    <row r="1760" spans="1:4" outlineLevel="1" x14ac:dyDescent="0.25">
      <c r="A1760" t="s">
        <v>258</v>
      </c>
      <c r="B1760" t="s">
        <v>37</v>
      </c>
      <c r="C1760" s="1" t="str">
        <f>HYPERLINK("http://продеталь.рф/search.html?article=1022252","1022252")</f>
        <v>1022252</v>
      </c>
      <c r="D1760" t="s">
        <v>58</v>
      </c>
    </row>
    <row r="1761" spans="1:4" outlineLevel="1" x14ac:dyDescent="0.25">
      <c r="A1761" t="s">
        <v>258</v>
      </c>
      <c r="B1761" t="s">
        <v>37</v>
      </c>
      <c r="C1761" s="1" t="str">
        <f>HYPERLINK("http://продеталь.рф/search.html?article=1022254","1022254")</f>
        <v>1022254</v>
      </c>
      <c r="D1761" t="s">
        <v>58</v>
      </c>
    </row>
    <row r="1762" spans="1:4" outlineLevel="1" x14ac:dyDescent="0.25">
      <c r="A1762" t="s">
        <v>258</v>
      </c>
      <c r="B1762" t="s">
        <v>37</v>
      </c>
      <c r="C1762" s="1" t="str">
        <f>HYPERLINK("http://продеталь.рф/search.html?article=1022255","1022255")</f>
        <v>1022255</v>
      </c>
      <c r="D1762" t="s">
        <v>58</v>
      </c>
    </row>
    <row r="1763" spans="1:4" outlineLevel="1" x14ac:dyDescent="0.25">
      <c r="A1763" t="s">
        <v>258</v>
      </c>
      <c r="B1763" t="s">
        <v>37</v>
      </c>
      <c r="C1763" s="1" t="str">
        <f>HYPERLINK("http://продеталь.рф/search.html?article=1062254","1062254")</f>
        <v>1062254</v>
      </c>
      <c r="D1763" t="s">
        <v>58</v>
      </c>
    </row>
    <row r="1764" spans="1:4" outlineLevel="1" x14ac:dyDescent="0.25">
      <c r="A1764" t="s">
        <v>258</v>
      </c>
      <c r="B1764" t="s">
        <v>27</v>
      </c>
      <c r="C1764" s="1" t="str">
        <f>HYPERLINK("http://продеталь.рф/search.html?article=FD82100900000","FD82100900000")</f>
        <v>FD82100900000</v>
      </c>
      <c r="D1764" t="s">
        <v>9</v>
      </c>
    </row>
    <row r="1765" spans="1:4" outlineLevel="1" x14ac:dyDescent="0.25">
      <c r="A1765" t="s">
        <v>258</v>
      </c>
      <c r="B1765" t="s">
        <v>27</v>
      </c>
      <c r="C1765" s="1" t="str">
        <f>HYPERLINK("http://продеталь.рф/search.html?article=PFD30024A","PFD30024A")</f>
        <v>PFD30024A</v>
      </c>
      <c r="D1765" t="s">
        <v>6</v>
      </c>
    </row>
    <row r="1766" spans="1:4" outlineLevel="1" x14ac:dyDescent="0.25">
      <c r="A1766" t="s">
        <v>258</v>
      </c>
      <c r="B1766" t="s">
        <v>3</v>
      </c>
      <c r="C1766" s="1" t="str">
        <f>HYPERLINK("http://продеталь.рф/search.html?article=200360052","200360052")</f>
        <v>200360052</v>
      </c>
      <c r="D1766" t="s">
        <v>4</v>
      </c>
    </row>
    <row r="1767" spans="1:4" outlineLevel="1" x14ac:dyDescent="0.25">
      <c r="A1767" t="s">
        <v>258</v>
      </c>
      <c r="B1767" t="s">
        <v>3</v>
      </c>
      <c r="C1767" s="1" t="str">
        <f>HYPERLINK("http://продеталь.рф/search.html?article=200359052","200359052")</f>
        <v>200359052</v>
      </c>
      <c r="D1767" t="s">
        <v>4</v>
      </c>
    </row>
    <row r="1768" spans="1:4" outlineLevel="1" x14ac:dyDescent="0.25">
      <c r="A1768" t="s">
        <v>258</v>
      </c>
      <c r="B1768" t="s">
        <v>3</v>
      </c>
      <c r="C1768" s="1" t="str">
        <f>HYPERLINK("http://продеталь.рф/search.html?article=20C184062B","20C184062B")</f>
        <v>20C184062B</v>
      </c>
      <c r="D1768" t="s">
        <v>4</v>
      </c>
    </row>
    <row r="1769" spans="1:4" outlineLevel="1" x14ac:dyDescent="0.25">
      <c r="A1769" t="s">
        <v>258</v>
      </c>
      <c r="B1769" t="s">
        <v>3</v>
      </c>
      <c r="C1769" s="1" t="str">
        <f>HYPERLINK("http://продеталь.рф/search.html?article=20C183062B","20C183062B")</f>
        <v>20C183062B</v>
      </c>
      <c r="D1769" t="s">
        <v>4</v>
      </c>
    </row>
    <row r="1770" spans="1:4" outlineLevel="1" x14ac:dyDescent="0.25">
      <c r="A1770" t="s">
        <v>258</v>
      </c>
      <c r="B1770" t="s">
        <v>5</v>
      </c>
      <c r="C1770" s="1" t="str">
        <f>HYPERLINK("http://продеталь.рф/search.html?article=210553","210553")</f>
        <v>210553</v>
      </c>
      <c r="D1770" t="s">
        <v>21</v>
      </c>
    </row>
    <row r="1771" spans="1:4" outlineLevel="1" x14ac:dyDescent="0.25">
      <c r="A1771" t="s">
        <v>258</v>
      </c>
      <c r="B1771" t="s">
        <v>5</v>
      </c>
      <c r="C1771" s="1" t="str">
        <f>HYPERLINK("http://продеталь.рф/search.html?article=210554","210554")</f>
        <v>210554</v>
      </c>
      <c r="D1771" t="s">
        <v>21</v>
      </c>
    </row>
    <row r="1772" spans="1:4" outlineLevel="1" x14ac:dyDescent="0.25">
      <c r="A1772" t="s">
        <v>258</v>
      </c>
      <c r="B1772" t="s">
        <v>40</v>
      </c>
      <c r="C1772" s="1" t="str">
        <f>HYPERLINK("http://продеталь.рф/search.html?article=4237E","4237E")</f>
        <v>4237E</v>
      </c>
      <c r="D1772" t="s">
        <v>36</v>
      </c>
    </row>
    <row r="1773" spans="1:4" outlineLevel="1" x14ac:dyDescent="0.25">
      <c r="A1773" t="s">
        <v>258</v>
      </c>
      <c r="B1773" t="s">
        <v>12</v>
      </c>
      <c r="C1773" s="1" t="str">
        <f>HYPERLINK("http://продеталь.рф/search.html?article=FD07232GB","FD07232GB")</f>
        <v>FD07232GB</v>
      </c>
      <c r="D1773" t="s">
        <v>2</v>
      </c>
    </row>
    <row r="1774" spans="1:4" outlineLevel="1" x14ac:dyDescent="0.25">
      <c r="A1774" t="s">
        <v>258</v>
      </c>
      <c r="B1774" t="s">
        <v>12</v>
      </c>
      <c r="C1774" s="1" t="str">
        <f>HYPERLINK("http://продеталь.рф/search.html?article=FD07255GB","FD07255GB")</f>
        <v>FD07255GB</v>
      </c>
      <c r="D1774" t="s">
        <v>2</v>
      </c>
    </row>
    <row r="1775" spans="1:4" outlineLevel="1" x14ac:dyDescent="0.25">
      <c r="A1775" t="s">
        <v>258</v>
      </c>
      <c r="B1775" t="s">
        <v>32</v>
      </c>
      <c r="C1775" s="1" t="str">
        <f>HYPERLINK("http://продеталь.рф/search.html?article=SFDM1017EL","SFDM1017EL")</f>
        <v>SFDM1017EL</v>
      </c>
      <c r="D1775" t="s">
        <v>6</v>
      </c>
    </row>
    <row r="1776" spans="1:4" outlineLevel="1" x14ac:dyDescent="0.25">
      <c r="A1776" t="s">
        <v>258</v>
      </c>
      <c r="B1776" t="s">
        <v>32</v>
      </c>
      <c r="C1776" s="1" t="str">
        <f>HYPERLINK("http://продеталь.рф/search.html?article=SFDM1092ER","SFDM1092ER")</f>
        <v>SFDM1092ER</v>
      </c>
      <c r="D1776" t="s">
        <v>6</v>
      </c>
    </row>
    <row r="1777" spans="1:4" outlineLevel="1" x14ac:dyDescent="0.25">
      <c r="A1777" t="s">
        <v>258</v>
      </c>
      <c r="B1777" t="s">
        <v>13</v>
      </c>
      <c r="C1777" s="1" t="str">
        <f>HYPERLINK("http://продеталь.рф/search.html?article=PFD44209A","PFD44209A")</f>
        <v>PFD44209A</v>
      </c>
      <c r="D1777" t="s">
        <v>6</v>
      </c>
    </row>
    <row r="1778" spans="1:4" x14ac:dyDescent="0.25">
      <c r="A1778" t="s">
        <v>259</v>
      </c>
      <c r="B1778" s="2" t="s">
        <v>259</v>
      </c>
      <c r="C1778" s="2"/>
      <c r="D1778" s="2"/>
    </row>
    <row r="1779" spans="1:4" outlineLevel="1" x14ac:dyDescent="0.25">
      <c r="A1779" t="s">
        <v>259</v>
      </c>
      <c r="B1779" t="s">
        <v>3</v>
      </c>
      <c r="C1779" s="1" t="str">
        <f>HYPERLINK("http://продеталь.рф/search.html?article=20B504052B","20B504052B")</f>
        <v>20B504052B</v>
      </c>
      <c r="D1779" t="s">
        <v>4</v>
      </c>
    </row>
    <row r="1780" spans="1:4" outlineLevel="1" x14ac:dyDescent="0.25">
      <c r="A1780" t="s">
        <v>259</v>
      </c>
      <c r="B1780" t="s">
        <v>3</v>
      </c>
      <c r="C1780" s="1" t="str">
        <f>HYPERLINK("http://продеталь.рф/search.html?article=20B503052B","20B503052B")</f>
        <v>20B503052B</v>
      </c>
      <c r="D1780" t="s">
        <v>4</v>
      </c>
    </row>
    <row r="1781" spans="1:4" outlineLevel="1" x14ac:dyDescent="0.25">
      <c r="A1781" t="s">
        <v>259</v>
      </c>
      <c r="B1781" t="s">
        <v>19</v>
      </c>
      <c r="C1781" s="1" t="str">
        <f>HYPERLINK("http://продеталь.рф/search.html?article=19A786012B","19A786012B")</f>
        <v>19A786012B</v>
      </c>
      <c r="D1781" t="s">
        <v>4</v>
      </c>
    </row>
    <row r="1782" spans="1:4" outlineLevel="1" x14ac:dyDescent="0.25">
      <c r="A1782" t="s">
        <v>259</v>
      </c>
      <c r="B1782" t="s">
        <v>19</v>
      </c>
      <c r="C1782" s="1" t="str">
        <f>HYPERLINK("http://продеталь.рф/search.html?article=19A785012B","19A785012B")</f>
        <v>19A785012B</v>
      </c>
      <c r="D1782" t="s">
        <v>4</v>
      </c>
    </row>
    <row r="1783" spans="1:4" x14ac:dyDescent="0.25">
      <c r="A1783" t="s">
        <v>260</v>
      </c>
      <c r="B1783" s="2" t="s">
        <v>260</v>
      </c>
      <c r="C1783" s="2"/>
      <c r="D1783" s="2"/>
    </row>
    <row r="1784" spans="1:4" outlineLevel="1" x14ac:dyDescent="0.25">
      <c r="A1784" t="s">
        <v>260</v>
      </c>
      <c r="B1784" t="s">
        <v>184</v>
      </c>
      <c r="C1784" s="1" t="str">
        <f>HYPERLINK("http://продеталь.рф/search.html?article=28041","28041")</f>
        <v>28041</v>
      </c>
      <c r="D1784" t="s">
        <v>163</v>
      </c>
    </row>
    <row r="1785" spans="1:4" outlineLevel="1" x14ac:dyDescent="0.25">
      <c r="A1785" t="s">
        <v>260</v>
      </c>
      <c r="B1785" t="s">
        <v>15</v>
      </c>
      <c r="C1785" s="1" t="str">
        <f>HYPERLINK("http://продеталь.рф/search.html?article=3100040","3100040")</f>
        <v>3100040</v>
      </c>
      <c r="D1785" t="s">
        <v>4</v>
      </c>
    </row>
    <row r="1786" spans="1:4" outlineLevel="1" x14ac:dyDescent="0.25">
      <c r="A1786" t="s">
        <v>260</v>
      </c>
      <c r="B1786" t="s">
        <v>15</v>
      </c>
      <c r="C1786" s="1" t="str">
        <f>HYPERLINK("http://продеталь.рф/search.html?article=3100039","3100039")</f>
        <v>3100039</v>
      </c>
      <c r="D1786" t="s">
        <v>4</v>
      </c>
    </row>
    <row r="1787" spans="1:4" outlineLevel="1" x14ac:dyDescent="0.25">
      <c r="A1787" t="s">
        <v>260</v>
      </c>
      <c r="B1787" t="s">
        <v>261</v>
      </c>
      <c r="C1787" s="1" t="str">
        <f>HYPERLINK("http://продеталь.рф/search.html?article=8100013","8100013")</f>
        <v>8100013</v>
      </c>
      <c r="D1787" t="s">
        <v>4</v>
      </c>
    </row>
    <row r="1788" spans="1:4" outlineLevel="1" x14ac:dyDescent="0.25">
      <c r="A1788" t="s">
        <v>260</v>
      </c>
      <c r="B1788" t="s">
        <v>101</v>
      </c>
      <c r="C1788" s="1" t="str">
        <f>HYPERLINK("http://продеталь.рф/search.html?article=58041","58041")</f>
        <v>58041</v>
      </c>
      <c r="D1788" t="s">
        <v>163</v>
      </c>
    </row>
    <row r="1789" spans="1:4" outlineLevel="1" x14ac:dyDescent="0.25">
      <c r="A1789" t="s">
        <v>260</v>
      </c>
      <c r="B1789" t="s">
        <v>23</v>
      </c>
      <c r="C1789" s="1" t="str">
        <f>HYPERLINK("http://продеталь.рф/search.html?article=110362012","110362012")</f>
        <v>110362012</v>
      </c>
      <c r="D1789" t="s">
        <v>4</v>
      </c>
    </row>
    <row r="1790" spans="1:4" outlineLevel="1" x14ac:dyDescent="0.25">
      <c r="A1790" t="s">
        <v>260</v>
      </c>
      <c r="B1790" t="s">
        <v>23</v>
      </c>
      <c r="C1790" s="1" t="str">
        <f>HYPERLINK("http://продеталь.рф/search.html?article=110361012","110361012")</f>
        <v>110361012</v>
      </c>
      <c r="D1790" t="s">
        <v>4</v>
      </c>
    </row>
    <row r="1791" spans="1:4" outlineLevel="1" x14ac:dyDescent="0.25">
      <c r="A1791" t="s">
        <v>260</v>
      </c>
      <c r="B1791" t="s">
        <v>1</v>
      </c>
      <c r="C1791" s="1" t="str">
        <f>HYPERLINK("http://продеталь.рф/search.html?article=PFD20080BI","PFD20080BI")</f>
        <v>PFD20080BI</v>
      </c>
      <c r="D1791" t="s">
        <v>6</v>
      </c>
    </row>
    <row r="1792" spans="1:4" outlineLevel="1" x14ac:dyDescent="0.25">
      <c r="A1792" t="s">
        <v>260</v>
      </c>
      <c r="B1792" t="s">
        <v>24</v>
      </c>
      <c r="C1792" s="1" t="str">
        <f>HYPERLINK("http://продеталь.рф/search.html?article=FD10096AR","FD10096AR")</f>
        <v>FD10096AR</v>
      </c>
      <c r="D1792" t="s">
        <v>2</v>
      </c>
    </row>
    <row r="1793" spans="1:4" outlineLevel="1" x14ac:dyDescent="0.25">
      <c r="A1793" t="s">
        <v>260</v>
      </c>
      <c r="B1793" t="s">
        <v>3</v>
      </c>
      <c r="C1793" s="1" t="str">
        <f>HYPERLINK("http://продеталь.рф/search.html?article=205322082","205322082")</f>
        <v>205322082</v>
      </c>
      <c r="D1793" t="s">
        <v>4</v>
      </c>
    </row>
    <row r="1794" spans="1:4" outlineLevel="1" x14ac:dyDescent="0.25">
      <c r="A1794" t="s">
        <v>260</v>
      </c>
      <c r="B1794" t="s">
        <v>3</v>
      </c>
      <c r="C1794" s="1" t="str">
        <f>HYPERLINK("http://продеталь.рф/search.html?article=205321082","205321082")</f>
        <v>205321082</v>
      </c>
      <c r="D1794" t="s">
        <v>4</v>
      </c>
    </row>
    <row r="1795" spans="1:4" outlineLevel="1" x14ac:dyDescent="0.25">
      <c r="A1795" t="s">
        <v>260</v>
      </c>
      <c r="B1795" t="s">
        <v>5</v>
      </c>
      <c r="C1795" s="1" t="str">
        <f>HYPERLINK("http://продеталь.рф/search.html?article=210559","210559")</f>
        <v>210559</v>
      </c>
      <c r="D1795" t="s">
        <v>21</v>
      </c>
    </row>
    <row r="1796" spans="1:4" outlineLevel="1" x14ac:dyDescent="0.25">
      <c r="A1796" t="s">
        <v>260</v>
      </c>
      <c r="B1796" t="s">
        <v>5</v>
      </c>
      <c r="C1796" s="1" t="str">
        <f>HYPERLINK("http://продеталь.рф/search.html?article=210560","210560")</f>
        <v>210560</v>
      </c>
      <c r="D1796" t="s">
        <v>21</v>
      </c>
    </row>
    <row r="1797" spans="1:4" outlineLevel="1" x14ac:dyDescent="0.25">
      <c r="A1797" t="s">
        <v>260</v>
      </c>
      <c r="B1797" t="s">
        <v>54</v>
      </c>
      <c r="C1797" s="1" t="str">
        <f>HYPERLINK("http://продеталь.рф/search.html?article=2505001","2505001")</f>
        <v>2505001</v>
      </c>
      <c r="D1797" t="s">
        <v>46</v>
      </c>
    </row>
    <row r="1798" spans="1:4" outlineLevel="1" x14ac:dyDescent="0.25">
      <c r="A1798" t="s">
        <v>260</v>
      </c>
      <c r="B1798" t="s">
        <v>54</v>
      </c>
      <c r="C1798" s="1" t="str">
        <f>HYPERLINK("http://продеталь.рф/search.html?article=2505002","2505002")</f>
        <v>2505002</v>
      </c>
      <c r="D1798" t="s">
        <v>46</v>
      </c>
    </row>
    <row r="1799" spans="1:4" x14ac:dyDescent="0.25">
      <c r="A1799" t="s">
        <v>262</v>
      </c>
      <c r="B1799" s="2" t="s">
        <v>262</v>
      </c>
      <c r="C1799" s="2"/>
      <c r="D1799" s="2"/>
    </row>
    <row r="1800" spans="1:4" outlineLevel="1" x14ac:dyDescent="0.25">
      <c r="A1800" t="s">
        <v>262</v>
      </c>
      <c r="B1800" t="s">
        <v>11</v>
      </c>
      <c r="C1800" s="1" t="str">
        <f>HYPERLINK("http://продеталь.рф/search.html?article=FD27087B0","FD27087B0")</f>
        <v>FD27087B0</v>
      </c>
      <c r="D1800" t="s">
        <v>9</v>
      </c>
    </row>
    <row r="1801" spans="1:4" outlineLevel="1" x14ac:dyDescent="0.25">
      <c r="A1801" t="s">
        <v>262</v>
      </c>
      <c r="B1801" t="s">
        <v>11</v>
      </c>
      <c r="C1801" s="1" t="str">
        <f>HYPERLINK("http://продеталь.рф/search.html?article=FD27000A0","FD27000A0")</f>
        <v>FD27000A0</v>
      </c>
      <c r="D1801" t="s">
        <v>9</v>
      </c>
    </row>
    <row r="1802" spans="1:4" outlineLevel="1" x14ac:dyDescent="0.25">
      <c r="A1802" t="s">
        <v>262</v>
      </c>
      <c r="B1802" t="s">
        <v>79</v>
      </c>
      <c r="C1802" s="1" t="str">
        <f>HYPERLINK("http://продеталь.рф/search.html?article=8100006","8100006")</f>
        <v>8100006</v>
      </c>
      <c r="D1802" t="s">
        <v>4</v>
      </c>
    </row>
    <row r="1803" spans="1:4" outlineLevel="1" x14ac:dyDescent="0.25">
      <c r="A1803" t="s">
        <v>262</v>
      </c>
      <c r="B1803" t="s">
        <v>79</v>
      </c>
      <c r="C1803" s="1" t="str">
        <f>HYPERLINK("http://продеталь.рф/search.html?article=8100001","8100001")</f>
        <v>8100001</v>
      </c>
      <c r="D1803" t="s">
        <v>4</v>
      </c>
    </row>
    <row r="1804" spans="1:4" outlineLevel="1" x14ac:dyDescent="0.25">
      <c r="A1804" t="s">
        <v>262</v>
      </c>
      <c r="B1804" t="s">
        <v>45</v>
      </c>
      <c r="C1804" s="1" t="str">
        <f>HYPERLINK("http://продеталь.рф/search.html?article=2553583","2553583")</f>
        <v>2553583</v>
      </c>
      <c r="D1804" t="s">
        <v>46</v>
      </c>
    </row>
    <row r="1805" spans="1:4" outlineLevel="1" x14ac:dyDescent="0.25">
      <c r="A1805" t="s">
        <v>262</v>
      </c>
      <c r="B1805" t="s">
        <v>45</v>
      </c>
      <c r="C1805" s="1" t="str">
        <f>HYPERLINK("http://продеталь.рф/search.html?article=2553584","2553584")</f>
        <v>2553584</v>
      </c>
      <c r="D1805" t="s">
        <v>46</v>
      </c>
    </row>
    <row r="1806" spans="1:4" outlineLevel="1" x14ac:dyDescent="0.25">
      <c r="A1806" t="s">
        <v>262</v>
      </c>
      <c r="B1806" t="s">
        <v>45</v>
      </c>
      <c r="C1806" s="1" t="str">
        <f>HYPERLINK("http://продеталь.рф/search.html?article=2553581","2553581")</f>
        <v>2553581</v>
      </c>
      <c r="D1806" t="s">
        <v>46</v>
      </c>
    </row>
    <row r="1807" spans="1:4" outlineLevel="1" x14ac:dyDescent="0.25">
      <c r="A1807" t="s">
        <v>262</v>
      </c>
      <c r="B1807" t="s">
        <v>45</v>
      </c>
      <c r="C1807" s="1" t="str">
        <f>HYPERLINK("http://продеталь.рф/search.html?article=2553582","2553582")</f>
        <v>2553582</v>
      </c>
      <c r="D1807" t="s">
        <v>46</v>
      </c>
    </row>
    <row r="1808" spans="1:4" outlineLevel="1" x14ac:dyDescent="0.25">
      <c r="A1808" t="s">
        <v>262</v>
      </c>
      <c r="B1808" t="s">
        <v>35</v>
      </c>
      <c r="C1808" s="1" t="str">
        <f>HYPERLINK("http://продеталь.рф/search.html?article=310404","310404")</f>
        <v>310404</v>
      </c>
      <c r="D1808" t="s">
        <v>21</v>
      </c>
    </row>
    <row r="1809" spans="1:4" outlineLevel="1" x14ac:dyDescent="0.25">
      <c r="A1809" t="s">
        <v>262</v>
      </c>
      <c r="B1809" t="s">
        <v>35</v>
      </c>
      <c r="C1809" s="1" t="str">
        <f>HYPERLINK("http://продеталь.рф/search.html?article=310405","310405")</f>
        <v>310405</v>
      </c>
      <c r="D1809" t="s">
        <v>21</v>
      </c>
    </row>
    <row r="1810" spans="1:4" outlineLevel="1" x14ac:dyDescent="0.25">
      <c r="A1810" t="s">
        <v>262</v>
      </c>
      <c r="B1810" t="s">
        <v>27</v>
      </c>
      <c r="C1810" s="1" t="str">
        <f>HYPERLINK("http://продеталь.рф/search.html?article=FD27000900000","FD27000900000")</f>
        <v>FD27000900000</v>
      </c>
      <c r="D1810" t="s">
        <v>9</v>
      </c>
    </row>
    <row r="1811" spans="1:4" outlineLevel="1" x14ac:dyDescent="0.25">
      <c r="A1811" t="s">
        <v>262</v>
      </c>
      <c r="B1811" t="s">
        <v>3</v>
      </c>
      <c r="C1811" s="1" t="str">
        <f>HYPERLINK("http://продеталь.рф/search.html?article=203456052","203456052")</f>
        <v>203456052</v>
      </c>
      <c r="D1811" t="s">
        <v>4</v>
      </c>
    </row>
    <row r="1812" spans="1:4" outlineLevel="1" x14ac:dyDescent="0.25">
      <c r="A1812" t="s">
        <v>262</v>
      </c>
      <c r="B1812" t="s">
        <v>5</v>
      </c>
      <c r="C1812" s="1" t="str">
        <f>HYPERLINK("http://продеталь.рф/search.html?article=FDMON93300L","FDMON93300L")</f>
        <v>FDMON93300L</v>
      </c>
      <c r="D1812" t="s">
        <v>34</v>
      </c>
    </row>
    <row r="1813" spans="1:4" outlineLevel="1" x14ac:dyDescent="0.25">
      <c r="A1813" t="s">
        <v>262</v>
      </c>
      <c r="B1813" t="s">
        <v>5</v>
      </c>
      <c r="C1813" s="1" t="str">
        <f>HYPERLINK("http://продеталь.рф/search.html?article=FDMON93300R","FDMON93300R")</f>
        <v>FDMON93300R</v>
      </c>
      <c r="D1813" t="s">
        <v>34</v>
      </c>
    </row>
    <row r="1814" spans="1:4" outlineLevel="1" x14ac:dyDescent="0.25">
      <c r="A1814" t="s">
        <v>262</v>
      </c>
      <c r="B1814" t="s">
        <v>5</v>
      </c>
      <c r="C1814" s="1" t="str">
        <f>HYPERLINK("http://продеталь.рф/search.html?article=210530","210530")</f>
        <v>210530</v>
      </c>
      <c r="D1814" t="s">
        <v>21</v>
      </c>
    </row>
    <row r="1815" spans="1:4" outlineLevel="1" x14ac:dyDescent="0.25">
      <c r="A1815" t="s">
        <v>262</v>
      </c>
      <c r="B1815" t="s">
        <v>5</v>
      </c>
      <c r="C1815" s="1" t="str">
        <f>HYPERLINK("http://продеталь.рф/search.html?article=210529","210529")</f>
        <v>210529</v>
      </c>
      <c r="D1815" t="s">
        <v>21</v>
      </c>
    </row>
    <row r="1816" spans="1:4" outlineLevel="1" x14ac:dyDescent="0.25">
      <c r="A1816" t="s">
        <v>262</v>
      </c>
      <c r="B1816" t="s">
        <v>54</v>
      </c>
      <c r="C1816" s="1" t="str">
        <f>HYPERLINK("http://продеталь.рф/search.html?article=2553011","2553011")</f>
        <v>2553011</v>
      </c>
      <c r="D1816" t="s">
        <v>46</v>
      </c>
    </row>
    <row r="1817" spans="1:4" outlineLevel="1" x14ac:dyDescent="0.25">
      <c r="A1817" t="s">
        <v>262</v>
      </c>
      <c r="B1817" t="s">
        <v>54</v>
      </c>
      <c r="C1817" s="1" t="str">
        <f>HYPERLINK("http://продеталь.рф/search.html?article=2553012","2553012")</f>
        <v>2553012</v>
      </c>
      <c r="D1817" t="s">
        <v>46</v>
      </c>
    </row>
    <row r="1818" spans="1:4" outlineLevel="1" x14ac:dyDescent="0.25">
      <c r="A1818" t="s">
        <v>262</v>
      </c>
      <c r="B1818" t="s">
        <v>19</v>
      </c>
      <c r="C1818" s="1" t="str">
        <f>HYPERLINK("http://продеталь.рф/search.html?article=190280052","190280052")</f>
        <v>190280052</v>
      </c>
      <c r="D1818" t="s">
        <v>4</v>
      </c>
    </row>
    <row r="1819" spans="1:4" outlineLevel="1" x14ac:dyDescent="0.25">
      <c r="A1819" t="s">
        <v>262</v>
      </c>
      <c r="B1819" t="s">
        <v>263</v>
      </c>
      <c r="C1819" s="1" t="str">
        <f>HYPERLINK("http://продеталь.рф/search.html?article=22091044","22091044")</f>
        <v>22091044</v>
      </c>
      <c r="D1819" t="s">
        <v>49</v>
      </c>
    </row>
    <row r="1820" spans="1:4" outlineLevel="1" x14ac:dyDescent="0.25">
      <c r="A1820" t="s">
        <v>262</v>
      </c>
      <c r="B1820" t="s">
        <v>40</v>
      </c>
      <c r="C1820" s="1" t="str">
        <f>HYPERLINK("http://продеталь.рф/search.html?article=PFD99107GA","PFD99107GA")</f>
        <v>PFD99107GA</v>
      </c>
      <c r="D1820" t="s">
        <v>6</v>
      </c>
    </row>
    <row r="1821" spans="1:4" outlineLevel="1" x14ac:dyDescent="0.25">
      <c r="A1821" t="s">
        <v>262</v>
      </c>
      <c r="B1821" t="s">
        <v>118</v>
      </c>
      <c r="C1821" s="1" t="str">
        <f>HYPERLINK("http://продеталь.рф/search.html?article=SFD2000L","SFD2000L")</f>
        <v>SFD2000L</v>
      </c>
      <c r="D1821" t="s">
        <v>63</v>
      </c>
    </row>
    <row r="1822" spans="1:4" outlineLevel="1" x14ac:dyDescent="0.25">
      <c r="A1822" t="s">
        <v>262</v>
      </c>
      <c r="B1822" t="s">
        <v>118</v>
      </c>
      <c r="C1822" s="1" t="str">
        <f>HYPERLINK("http://продеталь.рф/search.html?article=SFD2000R","SFD2000R")</f>
        <v>SFD2000R</v>
      </c>
      <c r="D1822" t="s">
        <v>63</v>
      </c>
    </row>
    <row r="1823" spans="1:4" outlineLevel="1" x14ac:dyDescent="0.25">
      <c r="A1823" t="s">
        <v>262</v>
      </c>
      <c r="B1823" t="s">
        <v>16</v>
      </c>
      <c r="C1823" s="1" t="str">
        <f>HYPERLINK("http://продеталь.рф/search.html?article=183157012","183157012")</f>
        <v>183157012</v>
      </c>
      <c r="D1823" t="s">
        <v>4</v>
      </c>
    </row>
    <row r="1824" spans="1:4" outlineLevel="1" x14ac:dyDescent="0.25">
      <c r="A1824" t="s">
        <v>262</v>
      </c>
      <c r="B1824" t="s">
        <v>16</v>
      </c>
      <c r="C1824" s="1" t="str">
        <f>HYPERLINK("http://продеталь.рф/search.html?article=183156012","183156012")</f>
        <v>183156012</v>
      </c>
      <c r="D1824" t="s">
        <v>4</v>
      </c>
    </row>
    <row r="1825" spans="1:4" x14ac:dyDescent="0.25">
      <c r="A1825" t="s">
        <v>264</v>
      </c>
      <c r="B1825" s="2" t="s">
        <v>264</v>
      </c>
      <c r="C1825" s="2"/>
      <c r="D1825" s="2"/>
    </row>
    <row r="1826" spans="1:4" outlineLevel="1" x14ac:dyDescent="0.25">
      <c r="A1826" t="s">
        <v>264</v>
      </c>
      <c r="B1826" t="s">
        <v>11</v>
      </c>
      <c r="C1826" s="1" t="str">
        <f>HYPERLINK("http://продеталь.рф/search.html?article=28057","28057")</f>
        <v>28057</v>
      </c>
      <c r="D1826" t="s">
        <v>163</v>
      </c>
    </row>
    <row r="1827" spans="1:4" outlineLevel="1" x14ac:dyDescent="0.25">
      <c r="A1827" t="s">
        <v>264</v>
      </c>
      <c r="B1827" t="s">
        <v>11</v>
      </c>
      <c r="C1827" s="1" t="str">
        <f>HYPERLINK("http://продеталь.рф/search.html?article=FD280870","FD280870")</f>
        <v>FD280870</v>
      </c>
      <c r="D1827" t="s">
        <v>9</v>
      </c>
    </row>
    <row r="1828" spans="1:4" outlineLevel="1" x14ac:dyDescent="0.25">
      <c r="A1828" t="s">
        <v>264</v>
      </c>
      <c r="B1828" t="s">
        <v>103</v>
      </c>
      <c r="C1828" s="1" t="str">
        <f>HYPERLINK("http://продеталь.рф/search.html?article=FD28219C1","FD28219C1")</f>
        <v>FD28219C1</v>
      </c>
      <c r="D1828" t="s">
        <v>9</v>
      </c>
    </row>
    <row r="1829" spans="1:4" outlineLevel="1" x14ac:dyDescent="0.25">
      <c r="A1829" t="s">
        <v>264</v>
      </c>
      <c r="B1829" t="s">
        <v>3</v>
      </c>
      <c r="C1829" s="1" t="str">
        <f>HYPERLINK("http://продеталь.рф/search.html?article=203754082","203754082")</f>
        <v>203754082</v>
      </c>
      <c r="D1829" t="s">
        <v>4</v>
      </c>
    </row>
    <row r="1830" spans="1:4" outlineLevel="1" x14ac:dyDescent="0.25">
      <c r="A1830" t="s">
        <v>264</v>
      </c>
      <c r="B1830" t="s">
        <v>3</v>
      </c>
      <c r="C1830" s="1" t="str">
        <f>HYPERLINK("http://продеталь.рф/search.html?article=203754182","203754182")</f>
        <v>203754182</v>
      </c>
      <c r="D1830" t="s">
        <v>4</v>
      </c>
    </row>
    <row r="1831" spans="1:4" outlineLevel="1" x14ac:dyDescent="0.25">
      <c r="A1831" t="s">
        <v>264</v>
      </c>
      <c r="B1831" t="s">
        <v>3</v>
      </c>
      <c r="C1831" s="1" t="str">
        <f>HYPERLINK("http://продеталь.рф/search.html?article=203753182","203753182")</f>
        <v>203753182</v>
      </c>
      <c r="D1831" t="s">
        <v>4</v>
      </c>
    </row>
    <row r="1832" spans="1:4" outlineLevel="1" x14ac:dyDescent="0.25">
      <c r="A1832" t="s">
        <v>264</v>
      </c>
      <c r="B1832" t="s">
        <v>5</v>
      </c>
      <c r="C1832" s="1" t="str">
        <f>HYPERLINK("http://продеталь.рф/search.html?article=FD28016L2","FD28016L2")</f>
        <v>FD28016L2</v>
      </c>
      <c r="D1832" t="s">
        <v>9</v>
      </c>
    </row>
    <row r="1833" spans="1:4" outlineLevel="1" x14ac:dyDescent="0.25">
      <c r="A1833" t="s">
        <v>264</v>
      </c>
      <c r="B1833" t="s">
        <v>5</v>
      </c>
      <c r="C1833" s="1" t="str">
        <f>HYPERLINK("http://продеталь.рф/search.html?article=FD28016L1","FD28016L1")</f>
        <v>FD28016L1</v>
      </c>
      <c r="D1833" t="s">
        <v>9</v>
      </c>
    </row>
    <row r="1834" spans="1:4" outlineLevel="1" x14ac:dyDescent="0.25">
      <c r="A1834" t="s">
        <v>264</v>
      </c>
      <c r="B1834" t="s">
        <v>8</v>
      </c>
      <c r="C1834" s="1" t="str">
        <f>HYPERLINK("http://продеталь.рф/search.html?article=RC94308","RC94308")</f>
        <v>RC94308</v>
      </c>
      <c r="D1834" t="s">
        <v>6</v>
      </c>
    </row>
    <row r="1835" spans="1:4" outlineLevel="1" x14ac:dyDescent="0.25">
      <c r="A1835" t="s">
        <v>264</v>
      </c>
      <c r="B1835" t="s">
        <v>30</v>
      </c>
      <c r="C1835" s="1" t="str">
        <f>HYPERLINK("http://продеталь.рф/search.html?article=FD280219L0R00","FD280219L0R00")</f>
        <v>FD280219L0R00</v>
      </c>
      <c r="D1835" t="s">
        <v>9</v>
      </c>
    </row>
    <row r="1836" spans="1:4" outlineLevel="1" x14ac:dyDescent="0.25">
      <c r="A1836" t="s">
        <v>264</v>
      </c>
      <c r="B1836" t="s">
        <v>12</v>
      </c>
      <c r="C1836" s="1" t="str">
        <f>HYPERLINK("http://продеталь.рф/search.html?article=313301","313301")</f>
        <v>313301</v>
      </c>
      <c r="D1836" t="s">
        <v>61</v>
      </c>
    </row>
    <row r="1837" spans="1:4" x14ac:dyDescent="0.25">
      <c r="A1837" t="s">
        <v>265</v>
      </c>
      <c r="B1837" s="2" t="s">
        <v>265</v>
      </c>
      <c r="C1837" s="2"/>
      <c r="D1837" s="2"/>
    </row>
    <row r="1838" spans="1:4" outlineLevel="1" x14ac:dyDescent="0.25">
      <c r="A1838" t="s">
        <v>265</v>
      </c>
      <c r="B1838" t="s">
        <v>11</v>
      </c>
      <c r="C1838" s="1" t="str">
        <f>HYPERLINK("http://продеталь.рф/search.html?article=FD04171BB","FD04171BB")</f>
        <v>FD04171BB</v>
      </c>
      <c r="D1838" t="s">
        <v>2</v>
      </c>
    </row>
    <row r="1839" spans="1:4" outlineLevel="1" x14ac:dyDescent="0.25">
      <c r="A1839" t="s">
        <v>265</v>
      </c>
      <c r="B1839" t="s">
        <v>11</v>
      </c>
      <c r="C1839" s="1" t="str">
        <f>HYPERLINK("http://продеталь.рф/search.html?article=FD04216BA","FD04216BA")</f>
        <v>FD04216BA</v>
      </c>
      <c r="D1839" t="s">
        <v>2</v>
      </c>
    </row>
    <row r="1840" spans="1:4" outlineLevel="1" x14ac:dyDescent="0.25">
      <c r="A1840" t="s">
        <v>265</v>
      </c>
      <c r="B1840" t="s">
        <v>11</v>
      </c>
      <c r="C1840" s="1" t="str">
        <f>HYPERLINK("http://продеталь.рф/search.html?article=FD29087B0","FD29087B0")</f>
        <v>FD29087B0</v>
      </c>
      <c r="D1840" t="s">
        <v>9</v>
      </c>
    </row>
    <row r="1841" spans="1:4" outlineLevel="1" x14ac:dyDescent="0.25">
      <c r="A1841" t="s">
        <v>265</v>
      </c>
      <c r="B1841" t="s">
        <v>15</v>
      </c>
      <c r="C1841" s="1" t="str">
        <f>HYPERLINK("http://продеталь.рф/search.html?article=3100047","3100047")</f>
        <v>3100047</v>
      </c>
      <c r="D1841" t="s">
        <v>4</v>
      </c>
    </row>
    <row r="1842" spans="1:4" outlineLevel="1" x14ac:dyDescent="0.25">
      <c r="A1842" t="s">
        <v>265</v>
      </c>
      <c r="B1842" t="s">
        <v>15</v>
      </c>
      <c r="C1842" s="1" t="str">
        <f>HYPERLINK("http://продеталь.рф/search.html?article=3100048","3100048")</f>
        <v>3100048</v>
      </c>
      <c r="D1842" t="s">
        <v>4</v>
      </c>
    </row>
    <row r="1843" spans="1:4" outlineLevel="1" x14ac:dyDescent="0.25">
      <c r="A1843" t="s">
        <v>265</v>
      </c>
      <c r="B1843" t="s">
        <v>23</v>
      </c>
      <c r="C1843" s="1" t="str">
        <f>HYPERLINK("http://продеталь.рф/search.html?article=110432012","110432012")</f>
        <v>110432012</v>
      </c>
      <c r="D1843" t="s">
        <v>4</v>
      </c>
    </row>
    <row r="1844" spans="1:4" outlineLevel="1" x14ac:dyDescent="0.25">
      <c r="A1844" t="s">
        <v>265</v>
      </c>
      <c r="B1844" t="s">
        <v>24</v>
      </c>
      <c r="C1844" s="1" t="str">
        <f>HYPERLINK("http://продеталь.рф/search.html?article=FD290162","FD290162")</f>
        <v>FD290162</v>
      </c>
      <c r="D1844" t="s">
        <v>9</v>
      </c>
    </row>
    <row r="1845" spans="1:4" outlineLevel="1" x14ac:dyDescent="0.25">
      <c r="A1845" t="s">
        <v>265</v>
      </c>
      <c r="B1845" t="s">
        <v>66</v>
      </c>
      <c r="C1845" s="1" t="str">
        <f>HYPERLINK("http://продеталь.рф/search.html?article=BK016","BK016")</f>
        <v>BK016</v>
      </c>
      <c r="D1845" t="s">
        <v>6</v>
      </c>
    </row>
    <row r="1846" spans="1:4" outlineLevel="1" x14ac:dyDescent="0.25">
      <c r="A1846" t="s">
        <v>265</v>
      </c>
      <c r="B1846" t="s">
        <v>266</v>
      </c>
      <c r="C1846" s="1" t="str">
        <f>HYPERLINK("http://продеталь.рф/search.html?article=FD07188MA","FD07188MA")</f>
        <v>FD07188MA</v>
      </c>
      <c r="D1846" t="s">
        <v>2</v>
      </c>
    </row>
    <row r="1847" spans="1:4" outlineLevel="1" x14ac:dyDescent="0.25">
      <c r="A1847" t="s">
        <v>265</v>
      </c>
      <c r="B1847" t="s">
        <v>37</v>
      </c>
      <c r="C1847" s="1" t="str">
        <f>HYPERLINK("http://продеталь.рф/search.html?article=1033252","1033252")</f>
        <v>1033252</v>
      </c>
      <c r="D1847" t="s">
        <v>58</v>
      </c>
    </row>
    <row r="1848" spans="1:4" outlineLevel="1" x14ac:dyDescent="0.25">
      <c r="A1848" t="s">
        <v>265</v>
      </c>
      <c r="B1848" t="s">
        <v>26</v>
      </c>
      <c r="C1848" s="1" t="str">
        <f>HYPERLINK("http://продеталь.рф/search.html?article=FD04171MAL","FD04171MAL")</f>
        <v>FD04171MAL</v>
      </c>
      <c r="D1848" t="s">
        <v>2</v>
      </c>
    </row>
    <row r="1849" spans="1:4" outlineLevel="1" x14ac:dyDescent="0.25">
      <c r="A1849" t="s">
        <v>265</v>
      </c>
      <c r="B1849" t="s">
        <v>26</v>
      </c>
      <c r="C1849" s="1" t="str">
        <f>HYPERLINK("http://продеталь.рф/search.html?article=FD04216MAR","FD04216MAR")</f>
        <v>FD04216MAR</v>
      </c>
      <c r="D1849" t="s">
        <v>2</v>
      </c>
    </row>
    <row r="1850" spans="1:4" outlineLevel="1" x14ac:dyDescent="0.25">
      <c r="A1850" t="s">
        <v>265</v>
      </c>
      <c r="B1850" t="s">
        <v>27</v>
      </c>
      <c r="C1850" s="1" t="str">
        <f>HYPERLINK("http://продеталь.рф/search.html?article=2657B","2657B")</f>
        <v>2657B</v>
      </c>
      <c r="D1850" t="s">
        <v>36</v>
      </c>
    </row>
    <row r="1851" spans="1:4" outlineLevel="1" x14ac:dyDescent="0.25">
      <c r="A1851" t="s">
        <v>265</v>
      </c>
      <c r="B1851" t="s">
        <v>27</v>
      </c>
      <c r="C1851" s="1" t="str">
        <f>HYPERLINK("http://продеталь.рф/search.html?article=FD30119B","FD30119B")</f>
        <v>FD30119B</v>
      </c>
      <c r="D1851" t="s">
        <v>2</v>
      </c>
    </row>
    <row r="1852" spans="1:4" outlineLevel="1" x14ac:dyDescent="0.25">
      <c r="A1852" t="s">
        <v>265</v>
      </c>
      <c r="B1852" t="s">
        <v>3</v>
      </c>
      <c r="C1852" s="1" t="str">
        <f>HYPERLINK("http://продеталь.рф/search.html?article=206246052","206246052")</f>
        <v>206246052</v>
      </c>
      <c r="D1852" t="s">
        <v>4</v>
      </c>
    </row>
    <row r="1853" spans="1:4" outlineLevel="1" x14ac:dyDescent="0.25">
      <c r="A1853" t="s">
        <v>265</v>
      </c>
      <c r="B1853" t="s">
        <v>3</v>
      </c>
      <c r="C1853" s="1" t="str">
        <f>HYPERLINK("http://продеталь.рф/search.html?article=206245052","206245052")</f>
        <v>206245052</v>
      </c>
      <c r="D1853" t="s">
        <v>4</v>
      </c>
    </row>
    <row r="1854" spans="1:4" outlineLevel="1" x14ac:dyDescent="0.25">
      <c r="A1854" t="s">
        <v>265</v>
      </c>
      <c r="B1854" t="s">
        <v>139</v>
      </c>
      <c r="C1854" s="1" t="str">
        <f>HYPERLINK("http://продеталь.рф/search.html?article=FD29015H2","FD29015H2")</f>
        <v>FD29015H2</v>
      </c>
      <c r="D1854" t="s">
        <v>9</v>
      </c>
    </row>
    <row r="1855" spans="1:4" outlineLevel="1" x14ac:dyDescent="0.25">
      <c r="A1855" t="s">
        <v>265</v>
      </c>
      <c r="B1855" t="s">
        <v>5</v>
      </c>
      <c r="C1855" s="1" t="str">
        <f>HYPERLINK("http://продеталь.рф/search.html?article=210535","210535")</f>
        <v>210535</v>
      </c>
      <c r="D1855" t="s">
        <v>21</v>
      </c>
    </row>
    <row r="1856" spans="1:4" outlineLevel="1" x14ac:dyDescent="0.25">
      <c r="A1856" t="s">
        <v>265</v>
      </c>
      <c r="B1856" t="s">
        <v>5</v>
      </c>
      <c r="C1856" s="1" t="str">
        <f>HYPERLINK("http://продеталь.рф/search.html?article=210536","210536")</f>
        <v>210536</v>
      </c>
      <c r="D1856" t="s">
        <v>21</v>
      </c>
    </row>
    <row r="1857" spans="1:4" outlineLevel="1" x14ac:dyDescent="0.25">
      <c r="A1857" t="s">
        <v>265</v>
      </c>
      <c r="B1857" t="s">
        <v>54</v>
      </c>
      <c r="C1857" s="1" t="str">
        <f>HYPERLINK("http://продеталь.рф/search.html?article=PFD76020ER","PFD76020ER")</f>
        <v>PFD76020ER</v>
      </c>
      <c r="D1857" t="s">
        <v>6</v>
      </c>
    </row>
    <row r="1858" spans="1:4" outlineLevel="1" x14ac:dyDescent="0.25">
      <c r="A1858" t="s">
        <v>265</v>
      </c>
      <c r="B1858" t="s">
        <v>19</v>
      </c>
      <c r="C1858" s="1" t="str">
        <f>HYPERLINK("http://продеталь.рф/search.html?article=190157052","190157052")</f>
        <v>190157052</v>
      </c>
      <c r="D1858" t="s">
        <v>4</v>
      </c>
    </row>
    <row r="1859" spans="1:4" outlineLevel="1" x14ac:dyDescent="0.25">
      <c r="A1859" t="s">
        <v>265</v>
      </c>
      <c r="B1859" t="s">
        <v>19</v>
      </c>
      <c r="C1859" s="1" t="str">
        <f>HYPERLINK("http://продеталь.рф/search.html?article=190282012","190282012")</f>
        <v>190282012</v>
      </c>
      <c r="D1859" t="s">
        <v>4</v>
      </c>
    </row>
    <row r="1860" spans="1:4" outlineLevel="1" x14ac:dyDescent="0.25">
      <c r="A1860" t="s">
        <v>265</v>
      </c>
      <c r="B1860" t="s">
        <v>19</v>
      </c>
      <c r="C1860" s="1" t="str">
        <f>HYPERLINK("http://продеталь.рф/search.html?article=190281012","190281012")</f>
        <v>190281012</v>
      </c>
      <c r="D1860" t="s">
        <v>4</v>
      </c>
    </row>
    <row r="1861" spans="1:4" outlineLevel="1" x14ac:dyDescent="0.25">
      <c r="A1861" t="s">
        <v>265</v>
      </c>
      <c r="B1861" t="s">
        <v>28</v>
      </c>
      <c r="C1861" s="1" t="str">
        <f>HYPERLINK("http://продеталь.рф/search.html?article=RA62041A","RA62041A")</f>
        <v>RA62041A</v>
      </c>
      <c r="D1861" t="s">
        <v>6</v>
      </c>
    </row>
    <row r="1862" spans="1:4" outlineLevel="1" x14ac:dyDescent="0.25">
      <c r="A1862" t="s">
        <v>265</v>
      </c>
      <c r="B1862" t="s">
        <v>28</v>
      </c>
      <c r="C1862" s="1" t="str">
        <f>HYPERLINK("http://продеталь.рф/search.html?article=RA62025Q","RA62025Q")</f>
        <v>RA62025Q</v>
      </c>
      <c r="D1862" t="s">
        <v>6</v>
      </c>
    </row>
    <row r="1863" spans="1:4" outlineLevel="1" x14ac:dyDescent="0.25">
      <c r="A1863" t="s">
        <v>265</v>
      </c>
      <c r="B1863" t="s">
        <v>8</v>
      </c>
      <c r="C1863" s="1" t="str">
        <f>HYPERLINK("http://продеталь.рф/search.html?article=FD29394A0","FD29394A0")</f>
        <v>FD29394A0</v>
      </c>
      <c r="D1863" t="s">
        <v>9</v>
      </c>
    </row>
    <row r="1864" spans="1:4" outlineLevel="1" x14ac:dyDescent="0.25">
      <c r="A1864" t="s">
        <v>265</v>
      </c>
      <c r="B1864" t="s">
        <v>55</v>
      </c>
      <c r="C1864" s="1" t="str">
        <f>HYPERLINK("http://продеталь.рф/search.html?article=FD07224MA","FD07224MA")</f>
        <v>FD07224MA</v>
      </c>
      <c r="D1864" t="s">
        <v>2</v>
      </c>
    </row>
    <row r="1865" spans="1:4" outlineLevel="1" x14ac:dyDescent="0.25">
      <c r="A1865" t="s">
        <v>265</v>
      </c>
      <c r="B1865" t="s">
        <v>30</v>
      </c>
      <c r="C1865" s="1" t="str">
        <f>HYPERLINK("http://продеталь.рф/search.html?article=UFD0734711","UFD0734711")</f>
        <v>UFD0734711</v>
      </c>
      <c r="D1865" t="s">
        <v>2</v>
      </c>
    </row>
    <row r="1866" spans="1:4" outlineLevel="1" x14ac:dyDescent="0.25">
      <c r="A1866" t="s">
        <v>265</v>
      </c>
      <c r="B1866" t="s">
        <v>30</v>
      </c>
      <c r="C1866" s="1" t="str">
        <f>HYPERLINK("http://продеталь.рф/search.html?article=UFD0734712","UFD0734712")</f>
        <v>UFD0734712</v>
      </c>
      <c r="D1866" t="s">
        <v>2</v>
      </c>
    </row>
    <row r="1867" spans="1:4" outlineLevel="1" x14ac:dyDescent="0.25">
      <c r="A1867" t="s">
        <v>265</v>
      </c>
      <c r="B1867" t="s">
        <v>40</v>
      </c>
      <c r="C1867" s="1" t="str">
        <f>HYPERLINK("http://продеталь.рф/search.html?article=1032710","1032710")</f>
        <v>1032710</v>
      </c>
      <c r="D1867" t="s">
        <v>58</v>
      </c>
    </row>
    <row r="1868" spans="1:4" outlineLevel="1" x14ac:dyDescent="0.25">
      <c r="A1868" t="s">
        <v>265</v>
      </c>
      <c r="B1868" t="s">
        <v>12</v>
      </c>
      <c r="C1868" s="1" t="str">
        <f>HYPERLINK("http://продеталь.рф/search.html?article=FD07224GA","FD07224GA")</f>
        <v>FD07224GA</v>
      </c>
      <c r="D1868" t="s">
        <v>2</v>
      </c>
    </row>
    <row r="1869" spans="1:4" outlineLevel="1" x14ac:dyDescent="0.25">
      <c r="A1869" t="s">
        <v>265</v>
      </c>
      <c r="B1869" t="s">
        <v>71</v>
      </c>
      <c r="C1869" s="1" t="str">
        <f>HYPERLINK("http://продеталь.рф/search.html?article=FD05097VA","FD05097VA")</f>
        <v>FD05097VA</v>
      </c>
      <c r="D1869" t="s">
        <v>2</v>
      </c>
    </row>
    <row r="1870" spans="1:4" outlineLevel="1" x14ac:dyDescent="0.25">
      <c r="A1870" t="s">
        <v>265</v>
      </c>
      <c r="B1870" t="s">
        <v>71</v>
      </c>
      <c r="C1870" s="1" t="str">
        <f>HYPERLINK("http://продеталь.рф/search.html?article=FD05098VA","FD05098VA")</f>
        <v>FD05098VA</v>
      </c>
      <c r="D1870" t="s">
        <v>2</v>
      </c>
    </row>
    <row r="1871" spans="1:4" outlineLevel="1" x14ac:dyDescent="0.25">
      <c r="A1871" t="s">
        <v>265</v>
      </c>
      <c r="B1871" t="s">
        <v>118</v>
      </c>
      <c r="C1871" s="1" t="str">
        <f>HYPERLINK("http://продеталь.рф/search.html?article=SFD2014LR","SFD2014LR")</f>
        <v>SFD2014LR</v>
      </c>
      <c r="D1871" t="s">
        <v>63</v>
      </c>
    </row>
    <row r="1872" spans="1:4" outlineLevel="1" x14ac:dyDescent="0.25">
      <c r="A1872" t="s">
        <v>265</v>
      </c>
      <c r="B1872" t="s">
        <v>13</v>
      </c>
      <c r="C1872" s="1" t="str">
        <f>HYPERLINK("http://продеталь.рф/search.html?article=FD290000R0000","FD290000R0000")</f>
        <v>FD290000R0000</v>
      </c>
      <c r="D1872" t="s">
        <v>9</v>
      </c>
    </row>
    <row r="1873" spans="1:4" x14ac:dyDescent="0.25">
      <c r="A1873" t="s">
        <v>267</v>
      </c>
      <c r="B1873" s="2" t="s">
        <v>267</v>
      </c>
      <c r="C1873" s="2"/>
      <c r="D1873" s="2"/>
    </row>
    <row r="1874" spans="1:4" outlineLevel="1" x14ac:dyDescent="0.25">
      <c r="A1874" t="s">
        <v>267</v>
      </c>
      <c r="B1874" t="s">
        <v>11</v>
      </c>
      <c r="C1874" s="1" t="str">
        <f>HYPERLINK("http://продеталь.рф/search.html?article=FD04309BA","FD04309BA")</f>
        <v>FD04309BA</v>
      </c>
      <c r="D1874" t="s">
        <v>2</v>
      </c>
    </row>
    <row r="1875" spans="1:4" outlineLevel="1" x14ac:dyDescent="0.25">
      <c r="A1875" t="s">
        <v>267</v>
      </c>
      <c r="B1875" t="s">
        <v>15</v>
      </c>
      <c r="C1875" s="1" t="str">
        <f>HYPERLINK("http://продеталь.рф/search.html?article=388FDD383TPA","388FDD383TPA")</f>
        <v>388FDD383TPA</v>
      </c>
      <c r="D1875" t="s">
        <v>4</v>
      </c>
    </row>
    <row r="1876" spans="1:4" outlineLevel="1" x14ac:dyDescent="0.25">
      <c r="A1876" t="s">
        <v>267</v>
      </c>
      <c r="B1876" t="s">
        <v>79</v>
      </c>
      <c r="C1876" s="1" t="str">
        <f>HYPERLINK("http://продеталь.рф/search.html?article=RDFDR007B","RDFDR007B")</f>
        <v>RDFDR007B</v>
      </c>
      <c r="D1876" t="s">
        <v>6</v>
      </c>
    </row>
    <row r="1877" spans="1:4" outlineLevel="1" x14ac:dyDescent="0.25">
      <c r="A1877" t="s">
        <v>267</v>
      </c>
      <c r="B1877" t="s">
        <v>23</v>
      </c>
      <c r="C1877" s="1" t="str">
        <f>HYPERLINK("http://продеталь.рф/search.html?article=11B692A12B","11B692A12B")</f>
        <v>11B692A12B</v>
      </c>
      <c r="D1877" t="s">
        <v>4</v>
      </c>
    </row>
    <row r="1878" spans="1:4" outlineLevel="1" x14ac:dyDescent="0.25">
      <c r="A1878" t="s">
        <v>267</v>
      </c>
      <c r="B1878" t="s">
        <v>23</v>
      </c>
      <c r="C1878" s="1" t="str">
        <f>HYPERLINK("http://продеталь.рф/search.html?article=11B691A12B","11B691A12B")</f>
        <v>11B691A12B</v>
      </c>
      <c r="D1878" t="s">
        <v>4</v>
      </c>
    </row>
    <row r="1879" spans="1:4" outlineLevel="1" x14ac:dyDescent="0.25">
      <c r="A1879" t="s">
        <v>267</v>
      </c>
      <c r="B1879" t="s">
        <v>160</v>
      </c>
      <c r="C1879" s="1" t="str">
        <f>HYPERLINK("http://продеталь.рф/search.html?article=PFD60014KA","PFD60014KA")</f>
        <v>PFD60014KA</v>
      </c>
      <c r="D1879" t="s">
        <v>6</v>
      </c>
    </row>
    <row r="1880" spans="1:4" outlineLevel="1" x14ac:dyDescent="0.25">
      <c r="A1880" t="s">
        <v>267</v>
      </c>
      <c r="B1880" t="s">
        <v>1</v>
      </c>
      <c r="C1880" s="1" t="str">
        <f>HYPERLINK("http://продеталь.рф/search.html?article=PFD20171A","PFD20171A")</f>
        <v>PFD20171A</v>
      </c>
      <c r="D1880" t="s">
        <v>6</v>
      </c>
    </row>
    <row r="1881" spans="1:4" outlineLevel="1" x14ac:dyDescent="0.25">
      <c r="A1881" t="s">
        <v>267</v>
      </c>
      <c r="B1881" t="s">
        <v>84</v>
      </c>
      <c r="C1881" s="1" t="str">
        <f>HYPERLINK("http://продеталь.рф/search.html?article=PFD04447KL","PFD04447KL")</f>
        <v>PFD04447KL</v>
      </c>
      <c r="D1881" t="s">
        <v>6</v>
      </c>
    </row>
    <row r="1882" spans="1:4" outlineLevel="1" x14ac:dyDescent="0.25">
      <c r="A1882" t="s">
        <v>267</v>
      </c>
      <c r="B1882" t="s">
        <v>24</v>
      </c>
      <c r="C1882" s="1" t="str">
        <f>HYPERLINK("http://продеталь.рф/search.html?article=PFD10168AL","PFD10168AL")</f>
        <v>PFD10168AL</v>
      </c>
      <c r="D1882" t="s">
        <v>6</v>
      </c>
    </row>
    <row r="1883" spans="1:4" outlineLevel="1" x14ac:dyDescent="0.25">
      <c r="A1883" t="s">
        <v>267</v>
      </c>
      <c r="B1883" t="s">
        <v>268</v>
      </c>
      <c r="C1883" s="1" t="str">
        <f>HYPERLINK("http://продеталь.рф/search.html?article=PFD99153CAL","PFD99153CAL")</f>
        <v>PFD99153CAL</v>
      </c>
      <c r="D1883" t="s">
        <v>6</v>
      </c>
    </row>
    <row r="1884" spans="1:4" outlineLevel="1" x14ac:dyDescent="0.25">
      <c r="A1884" t="s">
        <v>267</v>
      </c>
      <c r="B1884" t="s">
        <v>268</v>
      </c>
      <c r="C1884" s="1" t="str">
        <f>HYPERLINK("http://продеталь.рф/search.html?article=PFD99153CAR","PFD99153CAR")</f>
        <v>PFD99153CAR</v>
      </c>
      <c r="D1884" t="s">
        <v>6</v>
      </c>
    </row>
    <row r="1885" spans="1:4" outlineLevel="1" x14ac:dyDescent="0.25">
      <c r="A1885" t="s">
        <v>267</v>
      </c>
      <c r="B1885" t="s">
        <v>5</v>
      </c>
      <c r="C1885" s="1" t="str">
        <f>HYPERLINK("http://продеталь.рф/search.html?article=FD291016L0L00","FD291016L0L00")</f>
        <v>FD291016L0L00</v>
      </c>
      <c r="D1885" t="s">
        <v>9</v>
      </c>
    </row>
    <row r="1886" spans="1:4" outlineLevel="1" x14ac:dyDescent="0.25">
      <c r="A1886" t="s">
        <v>267</v>
      </c>
      <c r="B1886" t="s">
        <v>5</v>
      </c>
      <c r="C1886" s="1" t="str">
        <f>HYPERLINK("http://продеталь.рф/search.html?article=FD291016L0R00","FD291016L0R00")</f>
        <v>FD291016L0R00</v>
      </c>
      <c r="D1886" t="s">
        <v>9</v>
      </c>
    </row>
    <row r="1887" spans="1:4" outlineLevel="1" x14ac:dyDescent="0.25">
      <c r="A1887" t="s">
        <v>267</v>
      </c>
      <c r="B1887" t="s">
        <v>19</v>
      </c>
      <c r="C1887" s="1" t="str">
        <f>HYPERLINK("http://продеталь.рф/search.html?article=190707012","190707012")</f>
        <v>190707012</v>
      </c>
      <c r="D1887" t="s">
        <v>4</v>
      </c>
    </row>
    <row r="1888" spans="1:4" outlineLevel="1" x14ac:dyDescent="0.25">
      <c r="A1888" t="s">
        <v>267</v>
      </c>
      <c r="B1888" t="s">
        <v>19</v>
      </c>
      <c r="C1888" s="1" t="str">
        <f>HYPERLINK("http://продеталь.рф/search.html?article=FD2020KR","FD2020KR")</f>
        <v>FD2020KR</v>
      </c>
      <c r="D1888" t="s">
        <v>6</v>
      </c>
    </row>
    <row r="1889" spans="1:4" outlineLevel="1" x14ac:dyDescent="0.25">
      <c r="A1889" t="s">
        <v>267</v>
      </c>
      <c r="B1889" t="s">
        <v>19</v>
      </c>
      <c r="C1889" s="1" t="str">
        <f>HYPERLINK("http://продеталь.рф/search.html?article=19B012012B","19B012012B")</f>
        <v>19B012012B</v>
      </c>
      <c r="D1889" t="s">
        <v>4</v>
      </c>
    </row>
    <row r="1890" spans="1:4" outlineLevel="1" x14ac:dyDescent="0.25">
      <c r="A1890" t="s">
        <v>267</v>
      </c>
      <c r="B1890" t="s">
        <v>19</v>
      </c>
      <c r="C1890" s="1" t="str">
        <f>HYPERLINK("http://продеталь.рф/search.html?article=19B011012B","19B011012B")</f>
        <v>19B011012B</v>
      </c>
      <c r="D1890" t="s">
        <v>4</v>
      </c>
    </row>
    <row r="1891" spans="1:4" outlineLevel="1" x14ac:dyDescent="0.25">
      <c r="A1891" t="s">
        <v>267</v>
      </c>
      <c r="B1891" t="s">
        <v>40</v>
      </c>
      <c r="C1891" s="1" t="str">
        <f>HYPERLINK("http://продеталь.рф/search.html?article=FD07280GA","FD07280GA")</f>
        <v>FD07280GA</v>
      </c>
      <c r="D1891" t="s">
        <v>2</v>
      </c>
    </row>
    <row r="1892" spans="1:4" outlineLevel="1" x14ac:dyDescent="0.25">
      <c r="A1892" t="s">
        <v>267</v>
      </c>
      <c r="B1892" t="s">
        <v>12</v>
      </c>
      <c r="C1892" s="1" t="str">
        <f>HYPERLINK("http://продеталь.рф/search.html?article=FD29109300000","FD29109300000")</f>
        <v>FD29109300000</v>
      </c>
      <c r="D1892" t="s">
        <v>9</v>
      </c>
    </row>
    <row r="1893" spans="1:4" outlineLevel="1" x14ac:dyDescent="0.25">
      <c r="A1893" t="s">
        <v>267</v>
      </c>
      <c r="B1893" t="s">
        <v>12</v>
      </c>
      <c r="C1893" s="1" t="str">
        <f>HYPERLINK("http://продеталь.рф/search.html?article=PFD07309GA","PFD07309GA")</f>
        <v>PFD07309GA</v>
      </c>
      <c r="D1893" t="s">
        <v>6</v>
      </c>
    </row>
    <row r="1894" spans="1:4" outlineLevel="1" x14ac:dyDescent="0.25">
      <c r="A1894" t="s">
        <v>267</v>
      </c>
      <c r="B1894" t="s">
        <v>75</v>
      </c>
      <c r="C1894" s="1" t="str">
        <f>HYPERLINK("http://продеталь.рф/search.html?article=18A537012B","18A537012B")</f>
        <v>18A537012B</v>
      </c>
      <c r="D1894" t="s">
        <v>4</v>
      </c>
    </row>
    <row r="1895" spans="1:4" outlineLevel="1" x14ac:dyDescent="0.25">
      <c r="A1895" t="s">
        <v>267</v>
      </c>
      <c r="B1895" t="s">
        <v>13</v>
      </c>
      <c r="C1895" s="1" t="str">
        <f>HYPERLINK("http://продеталь.рф/search.html?article=FD291000R0000","FD291000R0000")</f>
        <v>FD291000R0000</v>
      </c>
      <c r="D1895" t="s">
        <v>9</v>
      </c>
    </row>
    <row r="1896" spans="1:4" outlineLevel="1" x14ac:dyDescent="0.25">
      <c r="A1896" t="s">
        <v>267</v>
      </c>
      <c r="B1896" t="s">
        <v>269</v>
      </c>
      <c r="C1896" s="1" t="str">
        <f>HYPERLINK("http://продеталь.рф/search.html?article=120106002","120106002")</f>
        <v>120106002</v>
      </c>
      <c r="D1896" t="s">
        <v>4</v>
      </c>
    </row>
    <row r="1897" spans="1:4" x14ac:dyDescent="0.25">
      <c r="A1897" t="s">
        <v>271</v>
      </c>
      <c r="B1897" s="2" t="s">
        <v>271</v>
      </c>
      <c r="C1897" s="2"/>
      <c r="D1897" s="2"/>
    </row>
    <row r="1898" spans="1:4" outlineLevel="1" x14ac:dyDescent="0.25">
      <c r="A1898" t="s">
        <v>271</v>
      </c>
      <c r="B1898" t="s">
        <v>54</v>
      </c>
      <c r="C1898" s="1" t="str">
        <f>HYPERLINK("http://продеталь.рф/search.html?article=2552011","2552011")</f>
        <v>2552011</v>
      </c>
      <c r="D1898" t="s">
        <v>46</v>
      </c>
    </row>
    <row r="1899" spans="1:4" outlineLevel="1" x14ac:dyDescent="0.25">
      <c r="A1899" t="s">
        <v>271</v>
      </c>
      <c r="B1899" t="s">
        <v>16</v>
      </c>
      <c r="C1899" s="1" t="str">
        <f>HYPERLINK("http://продеталь.рф/search.html?article=183134932","183134932")</f>
        <v>183134932</v>
      </c>
      <c r="D1899" t="s">
        <v>4</v>
      </c>
    </row>
    <row r="1900" spans="1:4" outlineLevel="1" x14ac:dyDescent="0.25">
      <c r="A1900" t="s">
        <v>271</v>
      </c>
      <c r="B1900" t="s">
        <v>16</v>
      </c>
      <c r="C1900" s="1" t="str">
        <f>HYPERLINK("http://продеталь.рф/search.html?article=183135052","183135052")</f>
        <v>183135052</v>
      </c>
      <c r="D1900" t="s">
        <v>4</v>
      </c>
    </row>
    <row r="1901" spans="1:4" outlineLevel="1" x14ac:dyDescent="0.25">
      <c r="A1901" t="s">
        <v>271</v>
      </c>
      <c r="B1901" t="s">
        <v>16</v>
      </c>
      <c r="C1901" s="1" t="str">
        <f>HYPERLINK("http://продеталь.рф/search.html?article=183134052","183134052")</f>
        <v>183134052</v>
      </c>
      <c r="D1901" t="s">
        <v>4</v>
      </c>
    </row>
    <row r="1902" spans="1:4" outlineLevel="1" x14ac:dyDescent="0.25">
      <c r="A1902" t="s">
        <v>271</v>
      </c>
      <c r="B1902" t="s">
        <v>16</v>
      </c>
      <c r="C1902" s="1" t="str">
        <f>HYPERLINK("http://продеталь.рф/search.html?article=183450052","183450052")</f>
        <v>183450052</v>
      </c>
      <c r="D1902" t="s">
        <v>4</v>
      </c>
    </row>
    <row r="1903" spans="1:4" outlineLevel="1" x14ac:dyDescent="0.25">
      <c r="A1903" t="s">
        <v>271</v>
      </c>
      <c r="B1903" t="s">
        <v>16</v>
      </c>
      <c r="C1903" s="1" t="str">
        <f>HYPERLINK("http://продеталь.рф/search.html?article=183449052","183449052")</f>
        <v>183449052</v>
      </c>
      <c r="D1903" t="s">
        <v>4</v>
      </c>
    </row>
    <row r="1904" spans="1:4" x14ac:dyDescent="0.25">
      <c r="A1904" t="s">
        <v>272</v>
      </c>
      <c r="B1904" s="2" t="s">
        <v>272</v>
      </c>
      <c r="C1904" s="2"/>
      <c r="D1904" s="2"/>
    </row>
    <row r="1905" spans="1:4" outlineLevel="1" x14ac:dyDescent="0.25">
      <c r="A1905" t="s">
        <v>272</v>
      </c>
      <c r="B1905" t="s">
        <v>147</v>
      </c>
      <c r="C1905" s="1" t="str">
        <f>HYPERLINK("http://продеталь.рф/search.html?article=17A057002B","17A057002B")</f>
        <v>17A057002B</v>
      </c>
      <c r="D1905" t="s">
        <v>4</v>
      </c>
    </row>
    <row r="1906" spans="1:4" x14ac:dyDescent="0.25">
      <c r="A1906" t="s">
        <v>273</v>
      </c>
      <c r="B1906" s="2" t="s">
        <v>273</v>
      </c>
      <c r="C1906" s="2"/>
      <c r="D1906" s="2"/>
    </row>
    <row r="1907" spans="1:4" outlineLevel="1" x14ac:dyDescent="0.25">
      <c r="A1907" t="s">
        <v>273</v>
      </c>
      <c r="B1907" t="s">
        <v>11</v>
      </c>
      <c r="C1907" s="1" t="str">
        <f>HYPERLINK("http://продеталь.рф/search.html?article=FD04028BA","FD04028BA")</f>
        <v>FD04028BA</v>
      </c>
      <c r="D1907" t="s">
        <v>2</v>
      </c>
    </row>
    <row r="1908" spans="1:4" outlineLevel="1" x14ac:dyDescent="0.25">
      <c r="A1908" t="s">
        <v>273</v>
      </c>
      <c r="B1908" t="s">
        <v>45</v>
      </c>
      <c r="C1908" s="1" t="str">
        <f>HYPERLINK("http://продеталь.рф/search.html?article=2550582","2550582")</f>
        <v>2550582</v>
      </c>
      <c r="D1908" t="s">
        <v>46</v>
      </c>
    </row>
    <row r="1909" spans="1:4" outlineLevel="1" x14ac:dyDescent="0.25">
      <c r="A1909" t="s">
        <v>273</v>
      </c>
      <c r="B1909" t="s">
        <v>45</v>
      </c>
      <c r="C1909" s="1" t="str">
        <f>HYPERLINK("http://продеталь.рф/search.html?article=2550583","2550583")</f>
        <v>2550583</v>
      </c>
      <c r="D1909" t="s">
        <v>46</v>
      </c>
    </row>
    <row r="1910" spans="1:4" outlineLevel="1" x14ac:dyDescent="0.25">
      <c r="A1910" t="s">
        <v>273</v>
      </c>
      <c r="B1910" t="s">
        <v>45</v>
      </c>
      <c r="C1910" s="1" t="str">
        <f>HYPERLINK("http://продеталь.рф/search.html?article=2550584","2550584")</f>
        <v>2550584</v>
      </c>
      <c r="D1910" t="s">
        <v>46</v>
      </c>
    </row>
    <row r="1911" spans="1:4" outlineLevel="1" x14ac:dyDescent="0.25">
      <c r="A1911" t="s">
        <v>273</v>
      </c>
      <c r="B1911" t="s">
        <v>54</v>
      </c>
      <c r="C1911" s="1" t="str">
        <f>HYPERLINK("http://продеталь.рф/search.html?article=2550011","2550011")</f>
        <v>2550011</v>
      </c>
      <c r="D1911" t="s">
        <v>46</v>
      </c>
    </row>
    <row r="1912" spans="1:4" outlineLevel="1" x14ac:dyDescent="0.25">
      <c r="A1912" t="s">
        <v>273</v>
      </c>
      <c r="B1912" t="s">
        <v>54</v>
      </c>
      <c r="C1912" s="1" t="str">
        <f>HYPERLINK("http://продеталь.рф/search.html?article=2550012","2550012")</f>
        <v>2550012</v>
      </c>
      <c r="D1912" t="s">
        <v>46</v>
      </c>
    </row>
    <row r="1913" spans="1:4" x14ac:dyDescent="0.25">
      <c r="A1913" t="s">
        <v>274</v>
      </c>
      <c r="B1913" s="2" t="s">
        <v>274</v>
      </c>
      <c r="C1913" s="2"/>
      <c r="D1913" s="2"/>
    </row>
    <row r="1914" spans="1:4" outlineLevel="1" x14ac:dyDescent="0.25">
      <c r="A1914" t="s">
        <v>274</v>
      </c>
      <c r="B1914" t="s">
        <v>11</v>
      </c>
      <c r="C1914" s="1" t="str">
        <f>HYPERLINK("http://продеталь.рф/search.html?article=FD04033BA","FD04033BA")</f>
        <v>FD04033BA</v>
      </c>
      <c r="D1914" t="s">
        <v>2</v>
      </c>
    </row>
    <row r="1915" spans="1:4" outlineLevel="1" x14ac:dyDescent="0.25">
      <c r="A1915" t="s">
        <v>274</v>
      </c>
      <c r="B1915" t="s">
        <v>11</v>
      </c>
      <c r="C1915" s="1" t="str">
        <f>HYPERLINK("http://продеталь.рф/search.html?article=071083","071083")</f>
        <v>071083</v>
      </c>
      <c r="D1915" t="s">
        <v>165</v>
      </c>
    </row>
    <row r="1916" spans="1:4" outlineLevel="1" x14ac:dyDescent="0.25">
      <c r="A1916" t="s">
        <v>274</v>
      </c>
      <c r="B1916" t="s">
        <v>275</v>
      </c>
      <c r="C1916" s="1" t="str">
        <f>HYPERLINK("http://продеталь.рф/search.html?article=ZFD1903R","ZFD1903R")</f>
        <v>ZFD1903R</v>
      </c>
      <c r="D1916" t="s">
        <v>6</v>
      </c>
    </row>
    <row r="1917" spans="1:4" outlineLevel="1" x14ac:dyDescent="0.25">
      <c r="A1917" t="s">
        <v>274</v>
      </c>
      <c r="B1917" t="s">
        <v>24</v>
      </c>
      <c r="C1917" s="1" t="str">
        <f>HYPERLINK("http://продеталь.рф/search.html?article=22062005090","22062005090")</f>
        <v>22062005090</v>
      </c>
      <c r="D1917" t="s">
        <v>49</v>
      </c>
    </row>
    <row r="1918" spans="1:4" outlineLevel="1" x14ac:dyDescent="0.25">
      <c r="A1918" t="s">
        <v>274</v>
      </c>
      <c r="B1918" t="s">
        <v>24</v>
      </c>
      <c r="C1918" s="1" t="str">
        <f>HYPERLINK("http://продеталь.рф/search.html?article=22062004090","22062004090")</f>
        <v>22062004090</v>
      </c>
      <c r="D1918" t="s">
        <v>49</v>
      </c>
    </row>
    <row r="1919" spans="1:4" outlineLevel="1" x14ac:dyDescent="0.25">
      <c r="A1919" t="s">
        <v>274</v>
      </c>
      <c r="B1919" t="s">
        <v>50</v>
      </c>
      <c r="C1919" s="1" t="str">
        <f>HYPERLINK("http://продеталь.рф/search.html?article=FD26011A0","FD26011A0")</f>
        <v>FD26011A0</v>
      </c>
      <c r="D1919" t="s">
        <v>9</v>
      </c>
    </row>
    <row r="1920" spans="1:4" outlineLevel="1" x14ac:dyDescent="0.25">
      <c r="A1920" t="s">
        <v>274</v>
      </c>
      <c r="B1920" t="s">
        <v>3</v>
      </c>
      <c r="C1920" s="1" t="str">
        <f>HYPERLINK("http://продеталь.рф/search.html?article=203422152","203422152")</f>
        <v>203422152</v>
      </c>
      <c r="D1920" t="s">
        <v>4</v>
      </c>
    </row>
    <row r="1921" spans="1:4" outlineLevel="1" x14ac:dyDescent="0.25">
      <c r="A1921" t="s">
        <v>274</v>
      </c>
      <c r="B1921" t="s">
        <v>3</v>
      </c>
      <c r="C1921" s="1" t="str">
        <f>HYPERLINK("http://продеталь.рф/search.html?article=203422052","203422052")</f>
        <v>203422052</v>
      </c>
      <c r="D1921" t="s">
        <v>4</v>
      </c>
    </row>
    <row r="1922" spans="1:4" outlineLevel="1" x14ac:dyDescent="0.25">
      <c r="A1922" t="s">
        <v>274</v>
      </c>
      <c r="B1922" t="s">
        <v>276</v>
      </c>
      <c r="C1922" s="1" t="str">
        <f>HYPERLINK("http://продеталь.рф/search.html?article=SFD2001","SFD2001")</f>
        <v>SFD2001</v>
      </c>
      <c r="D1922" t="s">
        <v>63</v>
      </c>
    </row>
    <row r="1923" spans="1:4" outlineLevel="1" x14ac:dyDescent="0.25">
      <c r="A1923" t="s">
        <v>274</v>
      </c>
      <c r="B1923" t="s">
        <v>16</v>
      </c>
      <c r="C1923" s="1" t="str">
        <f>HYPERLINK("http://продеталь.рф/search.html?article=183147012","183147012")</f>
        <v>183147012</v>
      </c>
      <c r="D1923" t="s">
        <v>4</v>
      </c>
    </row>
    <row r="1924" spans="1:4" outlineLevel="1" x14ac:dyDescent="0.25">
      <c r="A1924" t="s">
        <v>274</v>
      </c>
      <c r="B1924" t="s">
        <v>16</v>
      </c>
      <c r="C1924" s="1" t="str">
        <f>HYPERLINK("http://продеталь.рф/search.html?article=183146012","183146012")</f>
        <v>183146012</v>
      </c>
      <c r="D1924" t="s">
        <v>4</v>
      </c>
    </row>
    <row r="1925" spans="1:4" x14ac:dyDescent="0.25">
      <c r="A1925" t="s">
        <v>270</v>
      </c>
      <c r="B1925" s="2" t="s">
        <v>270</v>
      </c>
      <c r="C1925" s="2"/>
      <c r="D1925" s="2"/>
    </row>
    <row r="1926" spans="1:4" outlineLevel="1" x14ac:dyDescent="0.25">
      <c r="A1926" t="s">
        <v>270</v>
      </c>
      <c r="B1926" t="s">
        <v>15</v>
      </c>
      <c r="C1926" s="1" t="str">
        <f>HYPERLINK("http://продеталь.рф/search.html?article=388FDD376TPAL","388FDD376TPAL")</f>
        <v>388FDD376TPAL</v>
      </c>
      <c r="D1926" t="s">
        <v>4</v>
      </c>
    </row>
    <row r="1927" spans="1:4" outlineLevel="1" x14ac:dyDescent="0.25">
      <c r="A1927" t="s">
        <v>270</v>
      </c>
      <c r="B1927" t="s">
        <v>5</v>
      </c>
      <c r="C1927" s="1" t="str">
        <f>HYPERLINK("http://продеталь.рф/search.html?article=306FDF203","306FDF203")</f>
        <v>306FDF203</v>
      </c>
      <c r="D1927" t="s">
        <v>4</v>
      </c>
    </row>
    <row r="1928" spans="1:4" x14ac:dyDescent="0.25">
      <c r="A1928" t="s">
        <v>277</v>
      </c>
      <c r="B1928" s="2" t="s">
        <v>277</v>
      </c>
      <c r="C1928" s="2"/>
      <c r="D1928" s="2"/>
    </row>
    <row r="1929" spans="1:4" outlineLevel="1" x14ac:dyDescent="0.25">
      <c r="A1929" t="s">
        <v>277</v>
      </c>
      <c r="B1929" t="s">
        <v>278</v>
      </c>
      <c r="C1929" s="1" t="str">
        <f>HYPERLINK("http://продеталь.рф/search.html?article=FDG5000R0","FDG5000R0")</f>
        <v>FDG5000R0</v>
      </c>
      <c r="D1929" t="s">
        <v>9</v>
      </c>
    </row>
    <row r="1930" spans="1:4" x14ac:dyDescent="0.25">
      <c r="A1930" t="s">
        <v>279</v>
      </c>
      <c r="B1930" s="2" t="s">
        <v>279</v>
      </c>
      <c r="C1930" s="2"/>
      <c r="D1930" s="2"/>
    </row>
    <row r="1931" spans="1:4" outlineLevel="1" x14ac:dyDescent="0.25">
      <c r="A1931" t="s">
        <v>279</v>
      </c>
      <c r="B1931" t="s">
        <v>280</v>
      </c>
      <c r="C1931" s="1" t="str">
        <f>HYPERLINK("http://продеталь.рф/search.html?article=2515331","2515331")</f>
        <v>2515331</v>
      </c>
      <c r="D1931" t="s">
        <v>46</v>
      </c>
    </row>
    <row r="1932" spans="1:4" outlineLevel="1" x14ac:dyDescent="0.25">
      <c r="A1932" t="s">
        <v>279</v>
      </c>
      <c r="B1932" t="s">
        <v>280</v>
      </c>
      <c r="C1932" s="1" t="str">
        <f>HYPERLINK("http://продеталь.рф/search.html?article=2515332","2515332")</f>
        <v>2515332</v>
      </c>
      <c r="D1932" t="s">
        <v>46</v>
      </c>
    </row>
    <row r="1933" spans="1:4" outlineLevel="1" x14ac:dyDescent="0.25">
      <c r="A1933" t="s">
        <v>279</v>
      </c>
      <c r="B1933" t="s">
        <v>23</v>
      </c>
      <c r="C1933" s="1" t="str">
        <f>HYPERLINK("http://продеталь.рф/search.html?article=115314012","115314012")</f>
        <v>115314012</v>
      </c>
      <c r="D1933" t="s">
        <v>4</v>
      </c>
    </row>
    <row r="1934" spans="1:4" outlineLevel="1" x14ac:dyDescent="0.25">
      <c r="A1934" t="s">
        <v>279</v>
      </c>
      <c r="B1934" t="s">
        <v>45</v>
      </c>
      <c r="C1934" s="1" t="str">
        <f>HYPERLINK("http://продеталь.рф/search.html?article=2515592","2515592")</f>
        <v>2515592</v>
      </c>
      <c r="D1934" t="s">
        <v>46</v>
      </c>
    </row>
    <row r="1935" spans="1:4" outlineLevel="1" x14ac:dyDescent="0.25">
      <c r="A1935" t="s">
        <v>279</v>
      </c>
      <c r="B1935" t="s">
        <v>45</v>
      </c>
      <c r="C1935" s="1" t="str">
        <f>HYPERLINK("http://продеталь.рф/search.html?article=2515591","2515591")</f>
        <v>2515591</v>
      </c>
      <c r="D1935" t="s">
        <v>46</v>
      </c>
    </row>
    <row r="1936" spans="1:4" outlineLevel="1" x14ac:dyDescent="0.25">
      <c r="A1936" t="s">
        <v>279</v>
      </c>
      <c r="B1936" t="s">
        <v>24</v>
      </c>
      <c r="C1936" s="1" t="str">
        <f>HYPERLINK("http://продеталь.рф/search.html?article=22083005","22083005")</f>
        <v>22083005</v>
      </c>
      <c r="D1936" t="s">
        <v>49</v>
      </c>
    </row>
    <row r="1937" spans="1:4" outlineLevel="1" x14ac:dyDescent="0.25">
      <c r="A1937" t="s">
        <v>279</v>
      </c>
      <c r="B1937" t="s">
        <v>24</v>
      </c>
      <c r="C1937" s="1" t="str">
        <f>HYPERLINK("http://продеталь.рф/search.html?article=22083004","22083004")</f>
        <v>22083004</v>
      </c>
      <c r="D1937" t="s">
        <v>49</v>
      </c>
    </row>
    <row r="1938" spans="1:4" outlineLevel="1" x14ac:dyDescent="0.25">
      <c r="A1938" t="s">
        <v>279</v>
      </c>
      <c r="B1938" t="s">
        <v>51</v>
      </c>
      <c r="C1938" s="1" t="str">
        <f>HYPERLINK("http://продеталь.рф/search.html?article=2515220A1","2515220A1")</f>
        <v>2515220A1</v>
      </c>
      <c r="D1938" t="s">
        <v>46</v>
      </c>
    </row>
    <row r="1939" spans="1:4" outlineLevel="1" x14ac:dyDescent="0.25">
      <c r="A1939" t="s">
        <v>279</v>
      </c>
      <c r="B1939" t="s">
        <v>54</v>
      </c>
      <c r="C1939" s="1" t="str">
        <f>HYPERLINK("http://продеталь.рф/search.html?article=2515041","2515041")</f>
        <v>2515041</v>
      </c>
      <c r="D1939" t="s">
        <v>46</v>
      </c>
    </row>
    <row r="1940" spans="1:4" outlineLevel="1" x14ac:dyDescent="0.25">
      <c r="A1940" t="s">
        <v>279</v>
      </c>
      <c r="B1940" t="s">
        <v>54</v>
      </c>
      <c r="C1940" s="1" t="str">
        <f>HYPERLINK("http://продеталь.рф/search.html?article=2515042","2515042")</f>
        <v>2515042</v>
      </c>
      <c r="D1940" t="s">
        <v>46</v>
      </c>
    </row>
    <row r="1941" spans="1:4" outlineLevel="1" x14ac:dyDescent="0.25">
      <c r="A1941" t="s">
        <v>279</v>
      </c>
      <c r="B1941" t="s">
        <v>28</v>
      </c>
      <c r="C1941" s="1" t="str">
        <f>HYPERLINK("http://продеталь.рф/search.html?article=RA62369A","RA62369A")</f>
        <v>RA62369A</v>
      </c>
      <c r="D1941" t="s">
        <v>6</v>
      </c>
    </row>
    <row r="1942" spans="1:4" outlineLevel="1" x14ac:dyDescent="0.25">
      <c r="A1942" t="s">
        <v>279</v>
      </c>
      <c r="B1942" t="s">
        <v>12</v>
      </c>
      <c r="C1942" s="1" t="str">
        <f>HYPERLINK("http://продеталь.рф/search.html?article=312801","312801")</f>
        <v>312801</v>
      </c>
      <c r="D1942" t="s">
        <v>61</v>
      </c>
    </row>
    <row r="1943" spans="1:4" outlineLevel="1" x14ac:dyDescent="0.25">
      <c r="A1943" t="s">
        <v>279</v>
      </c>
      <c r="B1943" t="s">
        <v>41</v>
      </c>
      <c r="C1943" s="1" t="str">
        <f>HYPERLINK("http://продеталь.рф/search.html?article=SFD1125R","SFD1125R")</f>
        <v>SFD1125R</v>
      </c>
      <c r="D1943" t="s">
        <v>63</v>
      </c>
    </row>
    <row r="1944" spans="1:4" outlineLevel="1" x14ac:dyDescent="0.25">
      <c r="A1944" t="s">
        <v>279</v>
      </c>
      <c r="B1944" t="s">
        <v>16</v>
      </c>
      <c r="C1944" s="1" t="str">
        <f>HYPERLINK("http://продеталь.рф/search.html?article=183158012","183158012")</f>
        <v>183158012</v>
      </c>
      <c r="D1944" t="s">
        <v>4</v>
      </c>
    </row>
    <row r="1945" spans="1:4" x14ac:dyDescent="0.25">
      <c r="A1945" t="s">
        <v>281</v>
      </c>
      <c r="B1945" s="2" t="s">
        <v>281</v>
      </c>
      <c r="C1945" s="2"/>
      <c r="D1945" s="2"/>
    </row>
    <row r="1946" spans="1:4" outlineLevel="1" x14ac:dyDescent="0.25">
      <c r="A1946" t="s">
        <v>281</v>
      </c>
      <c r="B1946" t="s">
        <v>280</v>
      </c>
      <c r="C1946" s="1" t="str">
        <f>HYPERLINK("http://продеталь.рф/search.html?article=2515335","2515335")</f>
        <v>2515335</v>
      </c>
      <c r="D1946" t="s">
        <v>46</v>
      </c>
    </row>
    <row r="1947" spans="1:4" outlineLevel="1" x14ac:dyDescent="0.25">
      <c r="A1947" t="s">
        <v>281</v>
      </c>
      <c r="B1947" t="s">
        <v>11</v>
      </c>
      <c r="C1947" s="1" t="str">
        <f>HYPERLINK("http://продеталь.рф/search.html?article=071052","071052")</f>
        <v>071052</v>
      </c>
      <c r="D1947" t="s">
        <v>165</v>
      </c>
    </row>
    <row r="1948" spans="1:4" outlineLevel="1" x14ac:dyDescent="0.25">
      <c r="A1948" t="s">
        <v>281</v>
      </c>
      <c r="B1948" t="s">
        <v>282</v>
      </c>
      <c r="C1948" s="1" t="str">
        <f>HYPERLINK("http://продеталь.рф/search.html?article=2515151","2515151")</f>
        <v>2515151</v>
      </c>
      <c r="D1948" t="s">
        <v>46</v>
      </c>
    </row>
    <row r="1949" spans="1:4" outlineLevel="1" x14ac:dyDescent="0.25">
      <c r="A1949" t="s">
        <v>281</v>
      </c>
      <c r="B1949" t="s">
        <v>282</v>
      </c>
      <c r="C1949" s="1" t="str">
        <f>HYPERLINK("http://продеталь.рф/search.html?article=2515152","2515152")</f>
        <v>2515152</v>
      </c>
      <c r="D1949" t="s">
        <v>46</v>
      </c>
    </row>
    <row r="1950" spans="1:4" outlineLevel="1" x14ac:dyDescent="0.25">
      <c r="A1950" t="s">
        <v>281</v>
      </c>
      <c r="B1950" t="s">
        <v>282</v>
      </c>
      <c r="C1950" s="1" t="str">
        <f>HYPERLINK("http://продеталь.рф/search.html?article=2515156","2515156")</f>
        <v>2515156</v>
      </c>
      <c r="D1950" t="s">
        <v>46</v>
      </c>
    </row>
    <row r="1951" spans="1:4" outlineLevel="1" x14ac:dyDescent="0.25">
      <c r="A1951" t="s">
        <v>281</v>
      </c>
      <c r="B1951" t="s">
        <v>45</v>
      </c>
      <c r="C1951" s="1" t="str">
        <f>HYPERLINK("http://продеталь.рф/search.html?article=2515595","2515595")</f>
        <v>2515595</v>
      </c>
      <c r="D1951" t="s">
        <v>46</v>
      </c>
    </row>
    <row r="1952" spans="1:4" outlineLevel="1" x14ac:dyDescent="0.25">
      <c r="A1952" t="s">
        <v>281</v>
      </c>
      <c r="B1952" t="s">
        <v>45</v>
      </c>
      <c r="C1952" s="1" t="str">
        <f>HYPERLINK("http://продеталь.рф/search.html?article=2515596","2515596")</f>
        <v>2515596</v>
      </c>
      <c r="D1952" t="s">
        <v>46</v>
      </c>
    </row>
    <row r="1953" spans="1:4" outlineLevel="1" x14ac:dyDescent="0.25">
      <c r="A1953" t="s">
        <v>281</v>
      </c>
      <c r="B1953" t="s">
        <v>45</v>
      </c>
      <c r="C1953" s="1" t="str">
        <f>HYPERLINK("http://продеталь.рф/search.html?article=2515598","2515598")</f>
        <v>2515598</v>
      </c>
      <c r="D1953" t="s">
        <v>46</v>
      </c>
    </row>
    <row r="1954" spans="1:4" outlineLevel="1" x14ac:dyDescent="0.25">
      <c r="A1954" t="s">
        <v>281</v>
      </c>
      <c r="B1954" t="s">
        <v>45</v>
      </c>
      <c r="C1954" s="1" t="str">
        <f>HYPERLINK("http://продеталь.рф/search.html?article=2515597","2515597")</f>
        <v>2515597</v>
      </c>
      <c r="D1954" t="s">
        <v>46</v>
      </c>
    </row>
    <row r="1955" spans="1:4" outlineLevel="1" x14ac:dyDescent="0.25">
      <c r="A1955" t="s">
        <v>281</v>
      </c>
      <c r="B1955" t="s">
        <v>24</v>
      </c>
      <c r="C1955" s="1" t="str">
        <f>HYPERLINK("http://продеталь.рф/search.html?article=FD10066AL","FD10066AL")</f>
        <v>FD10066AL</v>
      </c>
      <c r="D1955" t="s">
        <v>2</v>
      </c>
    </row>
    <row r="1956" spans="1:4" outlineLevel="1" x14ac:dyDescent="0.25">
      <c r="A1956" t="s">
        <v>281</v>
      </c>
      <c r="B1956" t="s">
        <v>24</v>
      </c>
      <c r="C1956" s="1" t="str">
        <f>HYPERLINK("http://продеталь.рф/search.html?article=FD10066AR","FD10066AR")</f>
        <v>FD10066AR</v>
      </c>
      <c r="D1956" t="s">
        <v>2</v>
      </c>
    </row>
    <row r="1957" spans="1:4" outlineLevel="1" x14ac:dyDescent="0.25">
      <c r="A1957" t="s">
        <v>281</v>
      </c>
      <c r="B1957" t="s">
        <v>3</v>
      </c>
      <c r="C1957" s="1" t="str">
        <f>HYPERLINK("http://продеталь.рф/search.html?article=205212082","205212082")</f>
        <v>205212082</v>
      </c>
      <c r="D1957" t="s">
        <v>4</v>
      </c>
    </row>
    <row r="1958" spans="1:4" outlineLevel="1" x14ac:dyDescent="0.25">
      <c r="A1958" t="s">
        <v>281</v>
      </c>
      <c r="B1958" t="s">
        <v>3</v>
      </c>
      <c r="C1958" s="1" t="str">
        <f>HYPERLINK("http://продеталь.рф/search.html?article=205211082","205211082")</f>
        <v>205211082</v>
      </c>
      <c r="D1958" t="s">
        <v>4</v>
      </c>
    </row>
    <row r="1959" spans="1:4" outlineLevel="1" x14ac:dyDescent="0.25">
      <c r="A1959" t="s">
        <v>281</v>
      </c>
      <c r="B1959" t="s">
        <v>3</v>
      </c>
      <c r="C1959" s="1" t="str">
        <f>HYPERLINK("http://продеталь.рф/search.html?article=205212182","205212182")</f>
        <v>205212182</v>
      </c>
      <c r="D1959" t="s">
        <v>4</v>
      </c>
    </row>
    <row r="1960" spans="1:4" outlineLevel="1" x14ac:dyDescent="0.25">
      <c r="A1960" t="s">
        <v>281</v>
      </c>
      <c r="B1960" t="s">
        <v>3</v>
      </c>
      <c r="C1960" s="1" t="str">
        <f>HYPERLINK("http://продеталь.рф/search.html?article=205211182","205211182")</f>
        <v>205211182</v>
      </c>
      <c r="D1960" t="s">
        <v>4</v>
      </c>
    </row>
    <row r="1961" spans="1:4" outlineLevel="1" x14ac:dyDescent="0.25">
      <c r="A1961" t="s">
        <v>281</v>
      </c>
      <c r="B1961" t="s">
        <v>54</v>
      </c>
      <c r="C1961" s="1" t="str">
        <f>HYPERLINK("http://продеталь.рф/search.html?article=2515045","2515045")</f>
        <v>2515045</v>
      </c>
      <c r="D1961" t="s">
        <v>46</v>
      </c>
    </row>
    <row r="1962" spans="1:4" outlineLevel="1" x14ac:dyDescent="0.25">
      <c r="A1962" t="s">
        <v>281</v>
      </c>
      <c r="B1962" t="s">
        <v>54</v>
      </c>
      <c r="C1962" s="1" t="str">
        <f>HYPERLINK("http://продеталь.рф/search.html?article=2515046","2515046")</f>
        <v>2515046</v>
      </c>
      <c r="D1962" t="s">
        <v>46</v>
      </c>
    </row>
    <row r="1963" spans="1:4" outlineLevel="1" x14ac:dyDescent="0.25">
      <c r="A1963" t="s">
        <v>281</v>
      </c>
      <c r="B1963" t="s">
        <v>12</v>
      </c>
      <c r="C1963" s="1" t="str">
        <f>HYPERLINK("http://продеталь.рф/search.html?article=FD07092GA","FD07092GA")</f>
        <v>FD07092GA</v>
      </c>
      <c r="D1963" t="s">
        <v>2</v>
      </c>
    </row>
    <row r="1964" spans="1:4" outlineLevel="1" x14ac:dyDescent="0.25">
      <c r="A1964" t="s">
        <v>281</v>
      </c>
      <c r="B1964" t="s">
        <v>16</v>
      </c>
      <c r="C1964" s="1" t="str">
        <f>HYPERLINK("http://продеталь.рф/search.html?article=185402052","185402052")</f>
        <v>185402052</v>
      </c>
      <c r="D1964" t="s">
        <v>4</v>
      </c>
    </row>
    <row r="1965" spans="1:4" outlineLevel="1" x14ac:dyDescent="0.25">
      <c r="A1965" t="s">
        <v>281</v>
      </c>
      <c r="B1965" t="s">
        <v>16</v>
      </c>
      <c r="C1965" s="1" t="str">
        <f>HYPERLINK("http://продеталь.рф/search.html?article=185401052","185401052")</f>
        <v>185401052</v>
      </c>
      <c r="D1965" t="s">
        <v>4</v>
      </c>
    </row>
    <row r="1966" spans="1:4" x14ac:dyDescent="0.25">
      <c r="A1966" t="s">
        <v>283</v>
      </c>
      <c r="B1966" s="2" t="s">
        <v>283</v>
      </c>
      <c r="C1966" s="2"/>
      <c r="D1966" s="2"/>
    </row>
    <row r="1967" spans="1:4" outlineLevel="1" x14ac:dyDescent="0.25">
      <c r="A1967" t="s">
        <v>283</v>
      </c>
      <c r="B1967" t="s">
        <v>11</v>
      </c>
      <c r="C1967" s="1" t="str">
        <f>HYPERLINK("http://продеталь.рф/search.html?article=FDR50000","FDR50000")</f>
        <v>FDR50000</v>
      </c>
      <c r="D1967" t="s">
        <v>9</v>
      </c>
    </row>
    <row r="1968" spans="1:4" outlineLevel="1" x14ac:dyDescent="0.25">
      <c r="A1968" t="s">
        <v>283</v>
      </c>
      <c r="B1968" t="s">
        <v>11</v>
      </c>
      <c r="C1968" s="1" t="str">
        <f>HYPERLINK("http://продеталь.рф/search.html?article=PFD04165BA","PFD04165BA")</f>
        <v>PFD04165BA</v>
      </c>
      <c r="D1968" t="s">
        <v>6</v>
      </c>
    </row>
    <row r="1969" spans="1:4" outlineLevel="1" x14ac:dyDescent="0.25">
      <c r="A1969" t="s">
        <v>283</v>
      </c>
      <c r="B1969" t="s">
        <v>284</v>
      </c>
      <c r="C1969" s="1" t="str">
        <f>HYPERLINK("http://продеталь.рф/search.html?article=2515558","2515558")</f>
        <v>2515558</v>
      </c>
      <c r="D1969" t="s">
        <v>46</v>
      </c>
    </row>
    <row r="1970" spans="1:4" outlineLevel="1" x14ac:dyDescent="0.25">
      <c r="A1970" t="s">
        <v>283</v>
      </c>
      <c r="B1970" t="s">
        <v>284</v>
      </c>
      <c r="C1970" s="1" t="str">
        <f>HYPERLINK("http://продеталь.рф/search.html?article=2515557","2515557")</f>
        <v>2515557</v>
      </c>
      <c r="D1970" t="s">
        <v>46</v>
      </c>
    </row>
    <row r="1971" spans="1:4" outlineLevel="1" x14ac:dyDescent="0.25">
      <c r="A1971" t="s">
        <v>283</v>
      </c>
      <c r="B1971" t="s">
        <v>24</v>
      </c>
      <c r="C1971" s="1" t="str">
        <f>HYPERLINK("http://продеталь.рф/search.html?article=22085005090","22085005090")</f>
        <v>22085005090</v>
      </c>
      <c r="D1971" t="s">
        <v>49</v>
      </c>
    </row>
    <row r="1972" spans="1:4" outlineLevel="1" x14ac:dyDescent="0.25">
      <c r="A1972" t="s">
        <v>283</v>
      </c>
      <c r="B1972" t="s">
        <v>24</v>
      </c>
      <c r="C1972" s="1" t="str">
        <f>HYPERLINK("http://продеталь.рф/search.html?article=22085004090","22085004090")</f>
        <v>22085004090</v>
      </c>
      <c r="D1972" t="s">
        <v>49</v>
      </c>
    </row>
    <row r="1973" spans="1:4" outlineLevel="1" x14ac:dyDescent="0.25">
      <c r="A1973" t="s">
        <v>283</v>
      </c>
      <c r="B1973" t="s">
        <v>3</v>
      </c>
      <c r="C1973" s="1" t="str">
        <f>HYPERLINK("http://продеталь.рф/search.html?article=ZFD1151KL","ZFD1151KL")</f>
        <v>ZFD1151KL</v>
      </c>
      <c r="D1973" t="s">
        <v>6</v>
      </c>
    </row>
    <row r="1974" spans="1:4" outlineLevel="1" x14ac:dyDescent="0.25">
      <c r="A1974" t="s">
        <v>283</v>
      </c>
      <c r="B1974" t="s">
        <v>52</v>
      </c>
      <c r="C1974" s="1" t="str">
        <f>HYPERLINK("http://продеталь.рф/search.html?article=RG1465","RG1465")</f>
        <v>RG1465</v>
      </c>
      <c r="D1974" t="s">
        <v>53</v>
      </c>
    </row>
    <row r="1975" spans="1:4" outlineLevel="1" x14ac:dyDescent="0.25">
      <c r="A1975" t="s">
        <v>283</v>
      </c>
      <c r="B1975" t="s">
        <v>32</v>
      </c>
      <c r="C1975" s="1" t="str">
        <f>HYPERLINK("http://продеталь.рф/search.html?article=388FDG061","388FDG061")</f>
        <v>388FDG061</v>
      </c>
      <c r="D1975" t="s">
        <v>4</v>
      </c>
    </row>
    <row r="1976" spans="1:4" outlineLevel="1" x14ac:dyDescent="0.25">
      <c r="A1976" t="s">
        <v>283</v>
      </c>
      <c r="B1976" t="s">
        <v>181</v>
      </c>
      <c r="C1976" s="1" t="str">
        <f>HYPERLINK("http://продеталь.рф/search.html?article=FDR50872","FDR50872")</f>
        <v>FDR50872</v>
      </c>
      <c r="D1976" t="s">
        <v>9</v>
      </c>
    </row>
    <row r="1977" spans="1:4" outlineLevel="1" x14ac:dyDescent="0.25">
      <c r="A1977" t="s">
        <v>283</v>
      </c>
      <c r="B1977" t="s">
        <v>181</v>
      </c>
      <c r="C1977" s="1" t="str">
        <f>HYPERLINK("http://продеталь.рф/search.html?article=FDR50871","FDR50871")</f>
        <v>FDR50871</v>
      </c>
      <c r="D1977" t="s">
        <v>9</v>
      </c>
    </row>
    <row r="1978" spans="1:4" x14ac:dyDescent="0.25">
      <c r="A1978" t="s">
        <v>285</v>
      </c>
      <c r="B1978" s="2" t="s">
        <v>285</v>
      </c>
      <c r="C1978" s="2"/>
      <c r="D1978" s="2"/>
    </row>
    <row r="1979" spans="1:4" outlineLevel="1" x14ac:dyDescent="0.25">
      <c r="A1979" t="s">
        <v>285</v>
      </c>
      <c r="B1979" t="s">
        <v>184</v>
      </c>
      <c r="C1979" s="1" t="str">
        <f>HYPERLINK("http://продеталь.рф/search.html?article=FOR07TR007","FOR07TR007")</f>
        <v>FOR07TR007</v>
      </c>
      <c r="D1979" t="s">
        <v>2</v>
      </c>
    </row>
    <row r="1980" spans="1:4" outlineLevel="1" x14ac:dyDescent="0.25">
      <c r="A1980" t="s">
        <v>285</v>
      </c>
      <c r="B1980" t="s">
        <v>15</v>
      </c>
      <c r="C1980" s="1" t="str">
        <f>HYPERLINK("http://продеталь.рф/search.html?article=3100088","3100088")</f>
        <v>3100088</v>
      </c>
      <c r="D1980" t="s">
        <v>4</v>
      </c>
    </row>
    <row r="1981" spans="1:4" outlineLevel="1" x14ac:dyDescent="0.25">
      <c r="A1981" t="s">
        <v>285</v>
      </c>
      <c r="B1981" t="s">
        <v>15</v>
      </c>
      <c r="C1981" s="1" t="str">
        <f>HYPERLINK("http://продеталь.рф/search.html?article=3100087","3100087")</f>
        <v>3100087</v>
      </c>
      <c r="D1981" t="s">
        <v>4</v>
      </c>
    </row>
    <row r="1982" spans="1:4" outlineLevel="1" x14ac:dyDescent="0.25">
      <c r="A1982" t="s">
        <v>285</v>
      </c>
      <c r="B1982" t="s">
        <v>15</v>
      </c>
      <c r="C1982" s="1" t="str">
        <f>HYPERLINK("http://продеталь.рф/search.html?article=3100086","3100086")</f>
        <v>3100086</v>
      </c>
      <c r="D1982" t="s">
        <v>4</v>
      </c>
    </row>
    <row r="1983" spans="1:4" outlineLevel="1" x14ac:dyDescent="0.25">
      <c r="A1983" t="s">
        <v>285</v>
      </c>
      <c r="B1983" t="s">
        <v>15</v>
      </c>
      <c r="C1983" s="1" t="str">
        <f>HYPERLINK("http://продеталь.рф/search.html?article=3100085","3100085")</f>
        <v>3100085</v>
      </c>
      <c r="D1983" t="s">
        <v>4</v>
      </c>
    </row>
    <row r="1984" spans="1:4" outlineLevel="1" x14ac:dyDescent="0.25">
      <c r="A1984" t="s">
        <v>285</v>
      </c>
      <c r="B1984" t="s">
        <v>1</v>
      </c>
      <c r="C1984" s="1" t="str">
        <f>HYPERLINK("http://продеталь.рф/search.html?article=FDR60150","FDR60150")</f>
        <v>FDR60150</v>
      </c>
      <c r="D1984" t="s">
        <v>9</v>
      </c>
    </row>
    <row r="1985" spans="1:4" outlineLevel="1" x14ac:dyDescent="0.25">
      <c r="A1985" t="s">
        <v>285</v>
      </c>
      <c r="B1985" t="s">
        <v>24</v>
      </c>
      <c r="C1985" s="1" t="str">
        <f>HYPERLINK("http://продеталь.рф/search.html?article=FD10124AL","FD10124AL")</f>
        <v>FD10124AL</v>
      </c>
      <c r="D1985" t="s">
        <v>2</v>
      </c>
    </row>
    <row r="1986" spans="1:4" outlineLevel="1" x14ac:dyDescent="0.25">
      <c r="A1986" t="s">
        <v>285</v>
      </c>
      <c r="B1986" t="s">
        <v>24</v>
      </c>
      <c r="C1986" s="1" t="str">
        <f>HYPERLINK("http://продеталь.рф/search.html?article=FD10124AR","FD10124AR")</f>
        <v>FD10124AR</v>
      </c>
      <c r="D1986" t="s">
        <v>2</v>
      </c>
    </row>
    <row r="1987" spans="1:4" outlineLevel="1" x14ac:dyDescent="0.25">
      <c r="A1987" t="s">
        <v>285</v>
      </c>
      <c r="B1987" t="s">
        <v>3</v>
      </c>
      <c r="C1987" s="1" t="str">
        <f>HYPERLINK("http://продеталь.рф/search.html?article=200066152","200066152")</f>
        <v>200066152</v>
      </c>
      <c r="D1987" t="s">
        <v>4</v>
      </c>
    </row>
    <row r="1988" spans="1:4" outlineLevel="1" x14ac:dyDescent="0.25">
      <c r="A1988" t="s">
        <v>285</v>
      </c>
      <c r="B1988" t="s">
        <v>3</v>
      </c>
      <c r="C1988" s="1" t="str">
        <f>HYPERLINK("http://продеталь.рф/search.html?article=200065152","200065152")</f>
        <v>200065152</v>
      </c>
      <c r="D1988" t="s">
        <v>4</v>
      </c>
    </row>
    <row r="1989" spans="1:4" outlineLevel="1" x14ac:dyDescent="0.25">
      <c r="A1989" t="s">
        <v>285</v>
      </c>
      <c r="B1989" t="s">
        <v>3</v>
      </c>
      <c r="C1989" s="1" t="str">
        <f>HYPERLINK("http://продеталь.рф/search.html?article=200066052","200066052")</f>
        <v>200066052</v>
      </c>
      <c r="D1989" t="s">
        <v>4</v>
      </c>
    </row>
    <row r="1990" spans="1:4" outlineLevel="1" x14ac:dyDescent="0.25">
      <c r="A1990" t="s">
        <v>285</v>
      </c>
      <c r="B1990" t="s">
        <v>3</v>
      </c>
      <c r="C1990" s="1" t="str">
        <f>HYPERLINK("http://продеталь.рф/search.html?article=200065052","200065052")</f>
        <v>200065052</v>
      </c>
      <c r="D1990" t="s">
        <v>4</v>
      </c>
    </row>
    <row r="1991" spans="1:4" outlineLevel="1" x14ac:dyDescent="0.25">
      <c r="A1991" t="s">
        <v>285</v>
      </c>
      <c r="B1991" t="s">
        <v>5</v>
      </c>
      <c r="C1991" s="1" t="str">
        <f>HYPERLINK("http://продеталь.рф/search.html?article=210523","210523")</f>
        <v>210523</v>
      </c>
      <c r="D1991" t="s">
        <v>21</v>
      </c>
    </row>
    <row r="1992" spans="1:4" outlineLevel="1" x14ac:dyDescent="0.25">
      <c r="A1992" t="s">
        <v>285</v>
      </c>
      <c r="B1992" t="s">
        <v>12</v>
      </c>
      <c r="C1992" s="1" t="str">
        <f>HYPERLINK("http://продеталь.рф/search.html?article=FD07184GA","FD07184GA")</f>
        <v>FD07184GA</v>
      </c>
      <c r="D1992" t="s">
        <v>2</v>
      </c>
    </row>
    <row r="1993" spans="1:4" outlineLevel="1" x14ac:dyDescent="0.25">
      <c r="A1993" t="s">
        <v>285</v>
      </c>
      <c r="B1993" t="s">
        <v>32</v>
      </c>
      <c r="C1993" s="1" t="str">
        <f>HYPERLINK("http://продеталь.рф/search.html?article=31000881","31000881")</f>
        <v>31000881</v>
      </c>
      <c r="D1993" t="s">
        <v>4</v>
      </c>
    </row>
    <row r="1994" spans="1:4" outlineLevel="1" x14ac:dyDescent="0.25">
      <c r="A1994" t="s">
        <v>285</v>
      </c>
      <c r="B1994" t="s">
        <v>32</v>
      </c>
      <c r="C1994" s="1" t="str">
        <f>HYPERLINK("http://продеталь.рф/search.html?article=31000871","31000871")</f>
        <v>31000871</v>
      </c>
      <c r="D1994" t="s">
        <v>4</v>
      </c>
    </row>
    <row r="1995" spans="1:4" outlineLevel="1" x14ac:dyDescent="0.25">
      <c r="A1995" t="s">
        <v>285</v>
      </c>
      <c r="B1995" t="s">
        <v>32</v>
      </c>
      <c r="C1995" s="1" t="str">
        <f>HYPERLINK("http://продеталь.рф/search.html?article=31000861","31000861")</f>
        <v>31000861</v>
      </c>
      <c r="D1995" t="s">
        <v>4</v>
      </c>
    </row>
    <row r="1996" spans="1:4" outlineLevel="1" x14ac:dyDescent="0.25">
      <c r="A1996" t="s">
        <v>285</v>
      </c>
      <c r="B1996" t="s">
        <v>32</v>
      </c>
      <c r="C1996" s="1" t="str">
        <f>HYPERLINK("http://продеталь.рф/search.html?article=31000851","31000851")</f>
        <v>31000851</v>
      </c>
      <c r="D1996" t="s">
        <v>4</v>
      </c>
    </row>
    <row r="1997" spans="1:4" outlineLevel="1" x14ac:dyDescent="0.25">
      <c r="A1997" t="s">
        <v>285</v>
      </c>
      <c r="B1997" t="s">
        <v>118</v>
      </c>
      <c r="C1997" s="1" t="str">
        <f>HYPERLINK("http://продеталь.рф/search.html?article=SFD2076L","SFD2076L")</f>
        <v>SFD2076L</v>
      </c>
      <c r="D1997" t="s">
        <v>63</v>
      </c>
    </row>
    <row r="1998" spans="1:4" outlineLevel="1" x14ac:dyDescent="0.25">
      <c r="A1998" t="s">
        <v>285</v>
      </c>
      <c r="B1998" t="s">
        <v>118</v>
      </c>
      <c r="C1998" s="1" t="str">
        <f>HYPERLINK("http://продеталь.рф/search.html?article=SFD2076R","SFD2076R")</f>
        <v>SFD2076R</v>
      </c>
      <c r="D1998" t="s">
        <v>63</v>
      </c>
    </row>
    <row r="1999" spans="1:4" outlineLevel="1" x14ac:dyDescent="0.25">
      <c r="A1999" t="s">
        <v>285</v>
      </c>
      <c r="B1999" t="s">
        <v>286</v>
      </c>
      <c r="C1999" s="1" t="str">
        <f>HYPERLINK("http://продеталь.рф/search.html?article=FD41120BR","FD41120BR")</f>
        <v>FD41120BR</v>
      </c>
      <c r="D1999" t="s">
        <v>2</v>
      </c>
    </row>
    <row r="2000" spans="1:4" x14ac:dyDescent="0.25">
      <c r="A2000" t="s">
        <v>287</v>
      </c>
      <c r="B2000" s="2" t="s">
        <v>287</v>
      </c>
      <c r="C2000" s="2"/>
      <c r="D2000" s="2"/>
    </row>
    <row r="2001" spans="1:4" outlineLevel="1" x14ac:dyDescent="0.25">
      <c r="A2001" t="s">
        <v>287</v>
      </c>
      <c r="B2001" t="s">
        <v>11</v>
      </c>
      <c r="C2001" s="1" t="str">
        <f>HYPERLINK("http://продеталь.рф/search.html?article=FD79300000000","FD79300000000")</f>
        <v>FD79300000000</v>
      </c>
      <c r="D2001" t="s">
        <v>9</v>
      </c>
    </row>
    <row r="2002" spans="1:4" outlineLevel="1" x14ac:dyDescent="0.25">
      <c r="A2002" t="s">
        <v>287</v>
      </c>
      <c r="B2002" t="s">
        <v>184</v>
      </c>
      <c r="C2002" s="1" t="str">
        <f>HYPERLINK("http://продеталь.рф/search.html?article=FD04307PBL","FD04307PBL")</f>
        <v>FD04307PBL</v>
      </c>
      <c r="D2002" t="s">
        <v>2</v>
      </c>
    </row>
    <row r="2003" spans="1:4" outlineLevel="1" x14ac:dyDescent="0.25">
      <c r="A2003" t="s">
        <v>287</v>
      </c>
      <c r="B2003" t="s">
        <v>184</v>
      </c>
      <c r="C2003" s="1" t="str">
        <f>HYPERLINK("http://продеталь.рф/search.html?article=PFD04307PALI","PFD04307PALI")</f>
        <v>PFD04307PALI</v>
      </c>
      <c r="D2003" t="s">
        <v>6</v>
      </c>
    </row>
    <row r="2004" spans="1:4" outlineLevel="1" x14ac:dyDescent="0.25">
      <c r="A2004" t="s">
        <v>287</v>
      </c>
      <c r="B2004" t="s">
        <v>184</v>
      </c>
      <c r="C2004" s="1" t="str">
        <f>HYPERLINK("http://продеталь.рф/search.html?article=PFD04307PARI","PFD04307PARI")</f>
        <v>PFD04307PARI</v>
      </c>
      <c r="D2004" t="s">
        <v>6</v>
      </c>
    </row>
    <row r="2005" spans="1:4" outlineLevel="1" x14ac:dyDescent="0.25">
      <c r="A2005" t="s">
        <v>287</v>
      </c>
      <c r="B2005" t="s">
        <v>23</v>
      </c>
      <c r="C2005" s="1" t="str">
        <f>HYPERLINK("http://продеталь.рф/search.html?article=11B383012B","11B383012B")</f>
        <v>11B383012B</v>
      </c>
      <c r="D2005" t="s">
        <v>4</v>
      </c>
    </row>
    <row r="2006" spans="1:4" outlineLevel="1" x14ac:dyDescent="0.25">
      <c r="A2006" t="s">
        <v>287</v>
      </c>
      <c r="B2006" t="s">
        <v>1</v>
      </c>
      <c r="C2006" s="1" t="str">
        <f>HYPERLINK("http://продеталь.рф/search.html?article=FD79301500000","FD79301500000")</f>
        <v>FD79301500000</v>
      </c>
      <c r="D2006" t="s">
        <v>9</v>
      </c>
    </row>
    <row r="2007" spans="1:4" outlineLevel="1" x14ac:dyDescent="0.25">
      <c r="A2007" t="s">
        <v>287</v>
      </c>
      <c r="B2007" t="s">
        <v>3</v>
      </c>
      <c r="C2007" s="1" t="str">
        <f>HYPERLINK("http://продеталь.рф/search.html?article=20B736052B","20B736052B")</f>
        <v>20B736052B</v>
      </c>
      <c r="D2007" t="s">
        <v>4</v>
      </c>
    </row>
    <row r="2008" spans="1:4" outlineLevel="1" x14ac:dyDescent="0.25">
      <c r="A2008" t="s">
        <v>287</v>
      </c>
      <c r="B2008" t="s">
        <v>3</v>
      </c>
      <c r="C2008" s="1" t="str">
        <f>HYPERLINK("http://продеталь.рф/search.html?article=20B735052B","20B735052B")</f>
        <v>20B735052B</v>
      </c>
      <c r="D2008" t="s">
        <v>4</v>
      </c>
    </row>
    <row r="2009" spans="1:4" outlineLevel="1" x14ac:dyDescent="0.25">
      <c r="A2009" t="s">
        <v>287</v>
      </c>
      <c r="B2009" t="s">
        <v>13</v>
      </c>
      <c r="C2009" s="1" t="str">
        <f>HYPERLINK("http://продеталь.рф/search.html?article=PFD44262A","PFD44262A")</f>
        <v>PFD44262A</v>
      </c>
      <c r="D2009" t="s">
        <v>6</v>
      </c>
    </row>
    <row r="2010" spans="1:4" x14ac:dyDescent="0.25">
      <c r="A2010" t="s">
        <v>288</v>
      </c>
      <c r="B2010" s="2" t="s">
        <v>288</v>
      </c>
      <c r="C2010" s="2"/>
      <c r="D2010" s="2"/>
    </row>
    <row r="2011" spans="1:4" outlineLevel="1" x14ac:dyDescent="0.25">
      <c r="A2011" t="s">
        <v>288</v>
      </c>
      <c r="B2011" t="s">
        <v>11</v>
      </c>
      <c r="C2011" s="1" t="str">
        <f>HYPERLINK("http://продеталь.рф/search.html?article=FOR07CO003","FOR07CO003")</f>
        <v>FOR07CO003</v>
      </c>
      <c r="D2011" t="s">
        <v>182</v>
      </c>
    </row>
    <row r="2012" spans="1:4" outlineLevel="1" x14ac:dyDescent="0.25">
      <c r="A2012" t="s">
        <v>288</v>
      </c>
      <c r="B2012" t="s">
        <v>11</v>
      </c>
      <c r="C2012" s="1" t="str">
        <f>HYPERLINK("http://продеталь.рф/search.html?article=PFD04314BAI","PFD04314BAI")</f>
        <v>PFD04314BAI</v>
      </c>
      <c r="D2012" t="s">
        <v>6</v>
      </c>
    </row>
    <row r="2013" spans="1:4" outlineLevel="1" x14ac:dyDescent="0.25">
      <c r="A2013" t="s">
        <v>288</v>
      </c>
      <c r="B2013" t="s">
        <v>15</v>
      </c>
      <c r="C2013" s="1" t="str">
        <f>HYPERLINK("http://продеталь.рф/search.html?article=VFDM1022EL","VFDM1022EL")</f>
        <v>VFDM1022EL</v>
      </c>
      <c r="D2013" t="s">
        <v>6</v>
      </c>
    </row>
    <row r="2014" spans="1:4" outlineLevel="1" x14ac:dyDescent="0.25">
      <c r="A2014" t="s">
        <v>288</v>
      </c>
      <c r="B2014" t="s">
        <v>15</v>
      </c>
      <c r="C2014" s="1" t="str">
        <f>HYPERLINK("http://продеталь.рф/search.html?article=VFDM1022ER","VFDM1022ER")</f>
        <v>VFDM1022ER</v>
      </c>
      <c r="D2014" t="s">
        <v>6</v>
      </c>
    </row>
    <row r="2015" spans="1:4" outlineLevel="1" x14ac:dyDescent="0.25">
      <c r="A2015" t="s">
        <v>288</v>
      </c>
      <c r="B2015" t="s">
        <v>15</v>
      </c>
      <c r="C2015" s="1" t="str">
        <f>HYPERLINK("http://продеталь.рф/search.html?article=VFDM1022MR","VFDM1022MR")</f>
        <v>VFDM1022MR</v>
      </c>
      <c r="D2015" t="s">
        <v>6</v>
      </c>
    </row>
    <row r="2016" spans="1:4" outlineLevel="1" x14ac:dyDescent="0.25">
      <c r="A2016" t="s">
        <v>288</v>
      </c>
      <c r="B2016" t="s">
        <v>23</v>
      </c>
      <c r="C2016" s="1" t="str">
        <f>HYPERLINK("http://продеталь.рф/search.html?article=11B684012B","11B684012B")</f>
        <v>11B684012B</v>
      </c>
      <c r="D2016" t="s">
        <v>4</v>
      </c>
    </row>
    <row r="2017" spans="1:4" outlineLevel="1" x14ac:dyDescent="0.25">
      <c r="A2017" t="s">
        <v>288</v>
      </c>
      <c r="B2017" t="s">
        <v>23</v>
      </c>
      <c r="C2017" s="1" t="str">
        <f>HYPERLINK("http://продеталь.рф/search.html?article=11B683012B","11B683012B")</f>
        <v>11B683012B</v>
      </c>
      <c r="D2017" t="s">
        <v>4</v>
      </c>
    </row>
    <row r="2018" spans="1:4" outlineLevel="1" x14ac:dyDescent="0.25">
      <c r="A2018" t="s">
        <v>288</v>
      </c>
      <c r="B2018" t="s">
        <v>24</v>
      </c>
      <c r="C2018" s="1" t="str">
        <f>HYPERLINK("http://продеталь.рф/search.html?article=FD70101600L00","FD70101600L00")</f>
        <v>FD70101600L00</v>
      </c>
      <c r="D2018" t="s">
        <v>9</v>
      </c>
    </row>
    <row r="2019" spans="1:4" outlineLevel="1" x14ac:dyDescent="0.25">
      <c r="A2019" t="s">
        <v>288</v>
      </c>
      <c r="B2019" t="s">
        <v>27</v>
      </c>
      <c r="C2019" s="1" t="str">
        <f>HYPERLINK("http://продеталь.рф/search.html?article=FD30149A","FD30149A")</f>
        <v>FD30149A</v>
      </c>
      <c r="D2019" t="s">
        <v>2</v>
      </c>
    </row>
    <row r="2020" spans="1:4" outlineLevel="1" x14ac:dyDescent="0.25">
      <c r="A2020" t="s">
        <v>288</v>
      </c>
      <c r="B2020" t="s">
        <v>3</v>
      </c>
      <c r="C2020" s="1" t="str">
        <f>HYPERLINK("http://продеталь.рф/search.html?article=20B348052B","20B348052B")</f>
        <v>20B348052B</v>
      </c>
      <c r="D2020" t="s">
        <v>4</v>
      </c>
    </row>
    <row r="2021" spans="1:4" outlineLevel="1" x14ac:dyDescent="0.25">
      <c r="A2021" t="s">
        <v>288</v>
      </c>
      <c r="B2021" t="s">
        <v>3</v>
      </c>
      <c r="C2021" s="1" t="str">
        <f>HYPERLINK("http://продеталь.рф/search.html?article=20B347052B","20B347052B")</f>
        <v>20B347052B</v>
      </c>
      <c r="D2021" t="s">
        <v>4</v>
      </c>
    </row>
    <row r="2022" spans="1:4" outlineLevel="1" x14ac:dyDescent="0.25">
      <c r="A2022" t="s">
        <v>288</v>
      </c>
      <c r="B2022" t="s">
        <v>5</v>
      </c>
      <c r="C2022" s="1" t="str">
        <f>HYPERLINK("http://продеталь.рф/search.html?article=FD11154AL","FD11154AL")</f>
        <v>FD11154AL</v>
      </c>
      <c r="D2022" t="s">
        <v>2</v>
      </c>
    </row>
    <row r="2023" spans="1:4" outlineLevel="1" x14ac:dyDescent="0.25">
      <c r="A2023" t="s">
        <v>288</v>
      </c>
      <c r="B2023" t="s">
        <v>5</v>
      </c>
      <c r="C2023" s="1" t="str">
        <f>HYPERLINK("http://продеталь.рф/search.html?article=FD11154AR","FD11154AR")</f>
        <v>FD11154AR</v>
      </c>
      <c r="D2023" t="s">
        <v>2</v>
      </c>
    </row>
    <row r="2024" spans="1:4" outlineLevel="1" x14ac:dyDescent="0.25">
      <c r="A2024" t="s">
        <v>288</v>
      </c>
      <c r="B2024" t="s">
        <v>71</v>
      </c>
      <c r="C2024" s="1" t="str">
        <f>HYPERLINK("http://продеталь.рф/search.html?article=FD05095VA","FD05095VA")</f>
        <v>FD05095VA</v>
      </c>
      <c r="D2024" t="s">
        <v>2</v>
      </c>
    </row>
    <row r="2025" spans="1:4" x14ac:dyDescent="0.25">
      <c r="A2025" t="s">
        <v>289</v>
      </c>
      <c r="B2025" s="2" t="s">
        <v>289</v>
      </c>
      <c r="C2025" s="2"/>
      <c r="D2025" s="2"/>
    </row>
    <row r="2026" spans="1:4" outlineLevel="1" x14ac:dyDescent="0.25">
      <c r="A2026" t="s">
        <v>289</v>
      </c>
      <c r="B2026" t="s">
        <v>3</v>
      </c>
      <c r="C2026" s="1" t="str">
        <f>HYPERLINK("http://продеталь.рф/search.html?article=ZGZ1101R","ZGZ1101R")</f>
        <v>ZGZ1101R</v>
      </c>
      <c r="D2026" t="s">
        <v>6</v>
      </c>
    </row>
    <row r="2027" spans="1:4" outlineLevel="1" x14ac:dyDescent="0.25">
      <c r="A2027" t="s">
        <v>289</v>
      </c>
      <c r="B2027" t="s">
        <v>90</v>
      </c>
      <c r="C2027" s="1" t="str">
        <f>HYPERLINK("http://продеталь.рф/search.html?article=185147CAN","185147CAN")</f>
        <v>185147CAN</v>
      </c>
      <c r="D2027" t="s">
        <v>4</v>
      </c>
    </row>
    <row r="2028" spans="1:4" x14ac:dyDescent="0.25">
      <c r="A2028" t="s">
        <v>290</v>
      </c>
      <c r="B2028" s="2" t="s">
        <v>290</v>
      </c>
      <c r="C2028" s="2"/>
      <c r="D2028" s="2"/>
    </row>
    <row r="2029" spans="1:4" outlineLevel="1" x14ac:dyDescent="0.25">
      <c r="A2029" t="s">
        <v>290</v>
      </c>
      <c r="B2029" t="s">
        <v>291</v>
      </c>
      <c r="C2029" s="1" t="str">
        <f>HYPERLINK("http://продеталь.рф/search.html?article=2SA009001041","2SA009001041")</f>
        <v>2SA009001041</v>
      </c>
      <c r="D2029" t="s">
        <v>43</v>
      </c>
    </row>
    <row r="2030" spans="1:4" outlineLevel="1" x14ac:dyDescent="0.25">
      <c r="A2030" t="s">
        <v>290</v>
      </c>
      <c r="B2030" t="s">
        <v>292</v>
      </c>
      <c r="C2030" s="1" t="str">
        <f>HYPERLINK("http://продеталь.рф/search.html?article=9AG147939021","9AG147939021")</f>
        <v>9AG147939021</v>
      </c>
      <c r="D2030" t="s">
        <v>43</v>
      </c>
    </row>
    <row r="2031" spans="1:4" outlineLevel="1" x14ac:dyDescent="0.25">
      <c r="A2031" t="s">
        <v>290</v>
      </c>
      <c r="B2031" t="s">
        <v>293</v>
      </c>
      <c r="C2031" s="1" t="str">
        <f>HYPERLINK("http://продеталь.рф/search.html?article=1FM155648011","1FM155648011")</f>
        <v>1FM155648011</v>
      </c>
      <c r="D2031" t="s">
        <v>43</v>
      </c>
    </row>
    <row r="2032" spans="1:4" outlineLevel="1" x14ac:dyDescent="0.25">
      <c r="A2032" t="s">
        <v>290</v>
      </c>
      <c r="B2032" t="s">
        <v>294</v>
      </c>
      <c r="C2032" s="1" t="str">
        <f>HYPERLINK("http://продеталь.рф/search.html?article=1K0158059021","1K0158059021")</f>
        <v>1K0158059021</v>
      </c>
      <c r="D2032" t="s">
        <v>43</v>
      </c>
    </row>
    <row r="2033" spans="1:4" outlineLevel="1" x14ac:dyDescent="0.25">
      <c r="A2033" t="s">
        <v>290</v>
      </c>
      <c r="B2033" t="s">
        <v>295</v>
      </c>
      <c r="C2033" s="1" t="str">
        <f>HYPERLINK("http://продеталь.рф/search.html?article=6FH004570521","6FH004570521")</f>
        <v>6FH004570521</v>
      </c>
      <c r="D2033" t="s">
        <v>43</v>
      </c>
    </row>
    <row r="2034" spans="1:4" outlineLevel="1" x14ac:dyDescent="0.25">
      <c r="A2034" t="s">
        <v>290</v>
      </c>
      <c r="B2034" t="s">
        <v>296</v>
      </c>
      <c r="C2034" s="1" t="str">
        <f>HYPERLINK("http://продеталь.рф/search.html?article=9XD161119007","9XD161119007")</f>
        <v>9XD161119007</v>
      </c>
      <c r="D2034" t="s">
        <v>43</v>
      </c>
    </row>
    <row r="2035" spans="1:4" outlineLevel="1" x14ac:dyDescent="0.25">
      <c r="A2035" t="s">
        <v>290</v>
      </c>
      <c r="B2035" t="s">
        <v>297</v>
      </c>
      <c r="C2035" s="1" t="str">
        <f>HYPERLINK("http://продеталь.рф/search.html?article=8RA008405001","8RA008405001")</f>
        <v>8RA008405001</v>
      </c>
      <c r="D2035" t="s">
        <v>43</v>
      </c>
    </row>
    <row r="2036" spans="1:4" outlineLevel="1" x14ac:dyDescent="0.25">
      <c r="A2036" t="s">
        <v>290</v>
      </c>
      <c r="B2036" t="s">
        <v>298</v>
      </c>
      <c r="C2036" s="1" t="str">
        <f>HYPERLINK("http://продеталь.рф/search.html?article=8KB990299221","8KB990299221")</f>
        <v>8KB990299221</v>
      </c>
      <c r="D2036" t="s">
        <v>43</v>
      </c>
    </row>
    <row r="2037" spans="1:4" outlineLevel="1" x14ac:dyDescent="0.25">
      <c r="A2037" t="s">
        <v>290</v>
      </c>
      <c r="B2037" t="s">
        <v>299</v>
      </c>
      <c r="C2037" s="1" t="str">
        <f>HYPERLINK("http://продеталь.рф/search.html?article=9GR351165811","9GR351165811")</f>
        <v>9GR351165811</v>
      </c>
      <c r="D2037" t="s">
        <v>43</v>
      </c>
    </row>
    <row r="2038" spans="1:4" outlineLevel="1" x14ac:dyDescent="0.25">
      <c r="A2038" t="s">
        <v>290</v>
      </c>
      <c r="B2038" t="s">
        <v>300</v>
      </c>
      <c r="C2038" s="1" t="str">
        <f>HYPERLINK("http://продеталь.рф/search.html?article=1FA149504011","1FA149504011")</f>
        <v>1FA149504011</v>
      </c>
      <c r="D2038" t="s">
        <v>43</v>
      </c>
    </row>
    <row r="2039" spans="1:4" outlineLevel="1" x14ac:dyDescent="0.25">
      <c r="A2039" t="s">
        <v>290</v>
      </c>
      <c r="B2039" t="s">
        <v>301</v>
      </c>
      <c r="C2039" s="1" t="str">
        <f>HYPERLINK("http://продеталь.рф/search.html?article=1NA149501011","1NA149501011")</f>
        <v>1NA149501011</v>
      </c>
      <c r="D2039" t="s">
        <v>43</v>
      </c>
    </row>
    <row r="2040" spans="1:4" outlineLevel="1" x14ac:dyDescent="0.25">
      <c r="A2040" t="s">
        <v>290</v>
      </c>
      <c r="B2040" t="s">
        <v>302</v>
      </c>
      <c r="C2040" s="1" t="str">
        <f>HYPERLINK("http://продеталь.рф/search.html?article=8JD156151807","8JD156151807")</f>
        <v>8JD156151807</v>
      </c>
      <c r="D2040" t="s">
        <v>43</v>
      </c>
    </row>
    <row r="2041" spans="1:4" outlineLevel="1" x14ac:dyDescent="0.25">
      <c r="A2041" t="s">
        <v>290</v>
      </c>
      <c r="B2041" t="s">
        <v>303</v>
      </c>
      <c r="C2041" s="1" t="str">
        <f>HYPERLINK("http://продеталь.рф/search.html?article=9XW857510801","9XW857510801")</f>
        <v>9XW857510801</v>
      </c>
      <c r="D2041" t="s">
        <v>43</v>
      </c>
    </row>
    <row r="2042" spans="1:4" outlineLevel="1" x14ac:dyDescent="0.25">
      <c r="A2042" t="s">
        <v>290</v>
      </c>
      <c r="B2042" t="s">
        <v>304</v>
      </c>
      <c r="C2042" s="1" t="str">
        <f>HYPERLINK("http://продеталь.рф/search.html?article=9XW857513001","9XW857513001")</f>
        <v>9XW857513001</v>
      </c>
      <c r="D2042" t="s">
        <v>43</v>
      </c>
    </row>
    <row r="2043" spans="1:4" outlineLevel="1" x14ac:dyDescent="0.25">
      <c r="A2043" t="s">
        <v>290</v>
      </c>
      <c r="B2043" t="s">
        <v>305</v>
      </c>
      <c r="C2043" s="1" t="str">
        <f>HYPERLINK("http://продеталь.рф/search.html?article=9XW860656001","9XW860656001")</f>
        <v>9XW860656001</v>
      </c>
      <c r="D2043" t="s">
        <v>43</v>
      </c>
    </row>
    <row r="2044" spans="1:4" outlineLevel="1" x14ac:dyDescent="0.25">
      <c r="A2044" t="s">
        <v>290</v>
      </c>
      <c r="B2044" t="s">
        <v>306</v>
      </c>
      <c r="C2044" s="1" t="str">
        <f>HYPERLINK("http://продеталь.рф/search.html?article=9XW860660801","9XW860660801")</f>
        <v>9XW860660801</v>
      </c>
      <c r="D2044" t="s">
        <v>43</v>
      </c>
    </row>
    <row r="2045" spans="1:4" outlineLevel="1" x14ac:dyDescent="0.25">
      <c r="A2045" t="s">
        <v>290</v>
      </c>
      <c r="B2045" t="s">
        <v>307</v>
      </c>
      <c r="C2045" s="1" t="str">
        <f>HYPERLINK("http://продеталь.рф/search.html?article=9XW863146801","9XW863146801")</f>
        <v>9XW863146801</v>
      </c>
      <c r="D2045" t="s">
        <v>43</v>
      </c>
    </row>
    <row r="2046" spans="1:4" outlineLevel="1" x14ac:dyDescent="0.25">
      <c r="A2046" t="s">
        <v>290</v>
      </c>
      <c r="B2046" t="s">
        <v>308</v>
      </c>
      <c r="C2046" s="1" t="str">
        <f>HYPERLINK("http://продеталь.рф/search.html?article=9XW861934801","9XW861934801")</f>
        <v>9XW861934801</v>
      </c>
      <c r="D2046" t="s">
        <v>43</v>
      </c>
    </row>
    <row r="2047" spans="1:4" outlineLevel="1" x14ac:dyDescent="0.25">
      <c r="A2047" t="s">
        <v>290</v>
      </c>
      <c r="B2047" t="s">
        <v>309</v>
      </c>
      <c r="C2047" s="1" t="str">
        <f>HYPERLINK("http://продеталь.рф/search.html?article=9XW863147801","9XW863147801")</f>
        <v>9XW863147801</v>
      </c>
      <c r="D2047" t="s">
        <v>43</v>
      </c>
    </row>
    <row r="2048" spans="1:4" outlineLevel="1" x14ac:dyDescent="0.25">
      <c r="A2048" t="s">
        <v>290</v>
      </c>
      <c r="B2048" t="s">
        <v>310</v>
      </c>
      <c r="C2048" s="1" t="str">
        <f>HYPERLINK("http://продеталь.рф/search.html?article=9XW862054001","9XW862054001")</f>
        <v>9XW862054001</v>
      </c>
      <c r="D2048" t="s">
        <v>43</v>
      </c>
    </row>
    <row r="2049" spans="1:4" outlineLevel="1" x14ac:dyDescent="0.25">
      <c r="A2049" t="s">
        <v>290</v>
      </c>
      <c r="B2049" t="s">
        <v>311</v>
      </c>
      <c r="C2049" s="1" t="str">
        <f>HYPERLINK("http://продеталь.рф/search.html?article=9XW862181801","9XW862181801")</f>
        <v>9XW862181801</v>
      </c>
      <c r="D2049" t="s">
        <v>43</v>
      </c>
    </row>
    <row r="2050" spans="1:4" outlineLevel="1" x14ac:dyDescent="0.25">
      <c r="A2050" t="s">
        <v>290</v>
      </c>
      <c r="B2050" t="s">
        <v>312</v>
      </c>
      <c r="C2050" s="1" t="str">
        <f>HYPERLINK("http://продеталь.рф/search.html?article=9XW862222801","9XW862222801")</f>
        <v>9XW862222801</v>
      </c>
      <c r="D2050" t="s">
        <v>43</v>
      </c>
    </row>
    <row r="2051" spans="1:4" outlineLevel="1" x14ac:dyDescent="0.25">
      <c r="A2051" t="s">
        <v>290</v>
      </c>
      <c r="B2051" t="s">
        <v>313</v>
      </c>
      <c r="C2051" s="1" t="str">
        <f>HYPERLINK("http://продеталь.рф/search.html?article=9XW861939801","9XW861939801")</f>
        <v>9XW861939801</v>
      </c>
      <c r="D2051" t="s">
        <v>43</v>
      </c>
    </row>
    <row r="2052" spans="1:4" outlineLevel="1" x14ac:dyDescent="0.25">
      <c r="A2052" t="s">
        <v>290</v>
      </c>
      <c r="B2052" t="s">
        <v>314</v>
      </c>
      <c r="C2052" s="1" t="str">
        <f>HYPERLINK("http://продеталь.рф/search.html?article=9XW857511801","9XW857511801")</f>
        <v>9XW857511801</v>
      </c>
      <c r="D2052" t="s">
        <v>43</v>
      </c>
    </row>
    <row r="2053" spans="1:4" x14ac:dyDescent="0.25">
      <c r="A2053" t="s">
        <v>315</v>
      </c>
      <c r="B2053" s="2" t="s">
        <v>315</v>
      </c>
      <c r="C2053" s="2"/>
      <c r="D2053" s="2"/>
    </row>
    <row r="2054" spans="1:4" outlineLevel="1" x14ac:dyDescent="0.25">
      <c r="A2054" t="s">
        <v>315</v>
      </c>
      <c r="B2054" t="s">
        <v>45</v>
      </c>
      <c r="C2054" s="1" t="str">
        <f>HYPERLINK("http://продеталь.рф/search.html?article=2920581","2920581")</f>
        <v>2920581</v>
      </c>
      <c r="D2054" t="s">
        <v>46</v>
      </c>
    </row>
    <row r="2055" spans="1:4" outlineLevel="1" x14ac:dyDescent="0.25">
      <c r="A2055" t="s">
        <v>315</v>
      </c>
      <c r="B2055" t="s">
        <v>45</v>
      </c>
      <c r="C2055" s="1" t="str">
        <f>HYPERLINK("http://продеталь.рф/search.html?article=2920582","2920582")</f>
        <v>2920582</v>
      </c>
      <c r="D2055" t="s">
        <v>46</v>
      </c>
    </row>
    <row r="2056" spans="1:4" outlineLevel="1" x14ac:dyDescent="0.25">
      <c r="A2056" t="s">
        <v>315</v>
      </c>
      <c r="B2056" t="s">
        <v>24</v>
      </c>
      <c r="C2056" s="1" t="str">
        <f>HYPERLINK("http://продеталь.рф/search.html?article=HD10015AR","HD10015AR")</f>
        <v>HD10015AR</v>
      </c>
      <c r="D2056" t="s">
        <v>2</v>
      </c>
    </row>
    <row r="2057" spans="1:4" outlineLevel="1" x14ac:dyDescent="0.25">
      <c r="A2057" t="s">
        <v>315</v>
      </c>
      <c r="B2057" t="s">
        <v>316</v>
      </c>
      <c r="C2057" s="1" t="str">
        <f>HYPERLINK("http://продеталь.рф/search.html?article=2920002","2920002")</f>
        <v>2920002</v>
      </c>
      <c r="D2057" t="s">
        <v>46</v>
      </c>
    </row>
    <row r="2058" spans="1:4" outlineLevel="1" x14ac:dyDescent="0.25">
      <c r="A2058" t="s">
        <v>315</v>
      </c>
      <c r="B2058" t="s">
        <v>28</v>
      </c>
      <c r="C2058" s="1" t="str">
        <f>HYPERLINK("http://продеталь.рф/search.html?article=RA63304","RA63304")</f>
        <v>RA63304</v>
      </c>
      <c r="D2058" t="s">
        <v>6</v>
      </c>
    </row>
    <row r="2059" spans="1:4" outlineLevel="1" x14ac:dyDescent="0.25">
      <c r="A2059" t="s">
        <v>315</v>
      </c>
      <c r="B2059" t="s">
        <v>317</v>
      </c>
      <c r="C2059" s="1" t="str">
        <f>HYPERLINK("http://продеталь.рф/search.html?article=ZHD1507R","ZHD1507R")</f>
        <v>ZHD1507R</v>
      </c>
      <c r="D2059" t="s">
        <v>6</v>
      </c>
    </row>
    <row r="2060" spans="1:4" x14ac:dyDescent="0.25">
      <c r="A2060" t="s">
        <v>318</v>
      </c>
      <c r="B2060" s="2" t="s">
        <v>318</v>
      </c>
      <c r="C2060" s="2"/>
      <c r="D2060" s="2"/>
    </row>
    <row r="2061" spans="1:4" outlineLevel="1" x14ac:dyDescent="0.25">
      <c r="A2061" t="s">
        <v>318</v>
      </c>
      <c r="B2061" t="s">
        <v>11</v>
      </c>
      <c r="C2061" s="1" t="str">
        <f>HYPERLINK("http://продеталь.рф/search.html?article=HD04022BA","HD04022BA")</f>
        <v>HD04022BA</v>
      </c>
      <c r="D2061" t="s">
        <v>2</v>
      </c>
    </row>
    <row r="2062" spans="1:4" outlineLevel="1" x14ac:dyDescent="0.25">
      <c r="A2062" t="s">
        <v>318</v>
      </c>
      <c r="B2062" t="s">
        <v>15</v>
      </c>
      <c r="C2062" s="1" t="str">
        <f>HYPERLINK("http://продеталь.рф/search.html?article=3120002","3120002")</f>
        <v>3120002</v>
      </c>
      <c r="D2062" t="s">
        <v>4</v>
      </c>
    </row>
    <row r="2063" spans="1:4" outlineLevel="1" x14ac:dyDescent="0.25">
      <c r="A2063" t="s">
        <v>318</v>
      </c>
      <c r="B2063" t="s">
        <v>15</v>
      </c>
      <c r="C2063" s="1" t="str">
        <f>HYPERLINK("http://продеталь.рф/search.html?article=3120001","3120001")</f>
        <v>3120001</v>
      </c>
      <c r="D2063" t="s">
        <v>4</v>
      </c>
    </row>
    <row r="2064" spans="1:4" outlineLevel="1" x14ac:dyDescent="0.25">
      <c r="A2064" t="s">
        <v>318</v>
      </c>
      <c r="B2064" t="s">
        <v>319</v>
      </c>
      <c r="C2064" s="1" t="str">
        <f>HYPERLINK("http://продеталь.рф/search.html?article=185012052","185012052")</f>
        <v>185012052</v>
      </c>
      <c r="D2064" t="s">
        <v>4</v>
      </c>
    </row>
    <row r="2065" spans="1:4" outlineLevel="1" x14ac:dyDescent="0.25">
      <c r="A2065" t="s">
        <v>318</v>
      </c>
      <c r="B2065" t="s">
        <v>319</v>
      </c>
      <c r="C2065" s="1" t="str">
        <f>HYPERLINK("http://продеталь.рф/search.html?article=171131052","171131052")</f>
        <v>171131052</v>
      </c>
      <c r="D2065" t="s">
        <v>4</v>
      </c>
    </row>
    <row r="2066" spans="1:4" outlineLevel="1" x14ac:dyDescent="0.25">
      <c r="A2066" t="s">
        <v>318</v>
      </c>
      <c r="B2066" t="s">
        <v>319</v>
      </c>
      <c r="C2066" s="1" t="str">
        <f>HYPERLINK("http://продеталь.рф/search.html?article=171130052","171130052")</f>
        <v>171130052</v>
      </c>
      <c r="D2066" t="s">
        <v>4</v>
      </c>
    </row>
    <row r="2067" spans="1:4" outlineLevel="1" x14ac:dyDescent="0.25">
      <c r="A2067" t="s">
        <v>318</v>
      </c>
      <c r="B2067" t="s">
        <v>1</v>
      </c>
      <c r="C2067" s="1" t="str">
        <f>HYPERLINK("http://продеталь.рф/search.html?article=HD250150","HD250150")</f>
        <v>HD250150</v>
      </c>
      <c r="D2067" t="s">
        <v>9</v>
      </c>
    </row>
    <row r="2068" spans="1:4" outlineLevel="1" x14ac:dyDescent="0.25">
      <c r="A2068" t="s">
        <v>318</v>
      </c>
      <c r="B2068" t="s">
        <v>24</v>
      </c>
      <c r="C2068" s="1" t="str">
        <f>HYPERLINK("http://продеталь.рф/search.html?article=HD10024BL","HD10024BL")</f>
        <v>HD10024BL</v>
      </c>
      <c r="D2068" t="s">
        <v>2</v>
      </c>
    </row>
    <row r="2069" spans="1:4" outlineLevel="1" x14ac:dyDescent="0.25">
      <c r="A2069" t="s">
        <v>318</v>
      </c>
      <c r="B2069" t="s">
        <v>24</v>
      </c>
      <c r="C2069" s="1" t="str">
        <f>HYPERLINK("http://продеталь.рф/search.html?article=HD10024BR","HD10024BR")</f>
        <v>HD10024BR</v>
      </c>
      <c r="D2069" t="s">
        <v>2</v>
      </c>
    </row>
    <row r="2070" spans="1:4" outlineLevel="1" x14ac:dyDescent="0.25">
      <c r="A2070" t="s">
        <v>318</v>
      </c>
      <c r="B2070" t="s">
        <v>3</v>
      </c>
      <c r="C2070" s="1" t="str">
        <f>HYPERLINK("http://продеталь.рф/search.html?article=203052016","203052016")</f>
        <v>203052016</v>
      </c>
      <c r="D2070" t="s">
        <v>4</v>
      </c>
    </row>
    <row r="2071" spans="1:4" outlineLevel="1" x14ac:dyDescent="0.25">
      <c r="A2071" t="s">
        <v>318</v>
      </c>
      <c r="B2071" t="s">
        <v>3</v>
      </c>
      <c r="C2071" s="1" t="str">
        <f>HYPERLINK("http://продеталь.рф/search.html?article=201993016","201993016")</f>
        <v>201993016</v>
      </c>
      <c r="D2071" t="s">
        <v>4</v>
      </c>
    </row>
    <row r="2072" spans="1:4" outlineLevel="1" x14ac:dyDescent="0.25">
      <c r="A2072" t="s">
        <v>318</v>
      </c>
      <c r="B2072" t="s">
        <v>3</v>
      </c>
      <c r="C2072" s="1" t="str">
        <f>HYPERLINK("http://продеталь.рф/search.html?article=201992016","201992016")</f>
        <v>201992016</v>
      </c>
      <c r="D2072" t="s">
        <v>4</v>
      </c>
    </row>
    <row r="2073" spans="1:4" outlineLevel="1" x14ac:dyDescent="0.25">
      <c r="A2073" t="s">
        <v>318</v>
      </c>
      <c r="B2073" t="s">
        <v>12</v>
      </c>
      <c r="C2073" s="1" t="str">
        <f>HYPERLINK("http://продеталь.рф/search.html?article=HD25093A0","HD25093A0")</f>
        <v>HD25093A0</v>
      </c>
      <c r="D2073" t="s">
        <v>9</v>
      </c>
    </row>
    <row r="2074" spans="1:4" outlineLevel="1" x14ac:dyDescent="0.25">
      <c r="A2074" t="s">
        <v>318</v>
      </c>
      <c r="B2074" t="s">
        <v>12</v>
      </c>
      <c r="C2074" s="1" t="str">
        <f>HYPERLINK("http://продеталь.рф/search.html?article=HD07030GA","HD07030GA")</f>
        <v>HD07030GA</v>
      </c>
      <c r="D2074" t="s">
        <v>2</v>
      </c>
    </row>
    <row r="2075" spans="1:4" outlineLevel="1" x14ac:dyDescent="0.25">
      <c r="A2075" t="s">
        <v>318</v>
      </c>
      <c r="B2075" t="s">
        <v>64</v>
      </c>
      <c r="C2075" s="1" t="str">
        <f>HYPERLINK("http://продеталь.рф/search.html?article=121420152","121420152")</f>
        <v>121420152</v>
      </c>
      <c r="D2075" t="s">
        <v>4</v>
      </c>
    </row>
    <row r="2076" spans="1:4" outlineLevel="1" x14ac:dyDescent="0.25">
      <c r="A2076" t="s">
        <v>318</v>
      </c>
      <c r="B2076" t="s">
        <v>64</v>
      </c>
      <c r="C2076" s="1" t="str">
        <f>HYPERLINK("http://продеталь.рф/search.html?article=121419152","121419152")</f>
        <v>121419152</v>
      </c>
      <c r="D2076" t="s">
        <v>4</v>
      </c>
    </row>
    <row r="2077" spans="1:4" x14ac:dyDescent="0.25">
      <c r="A2077" t="s">
        <v>320</v>
      </c>
      <c r="B2077" s="2" t="s">
        <v>320</v>
      </c>
      <c r="C2077" s="2"/>
      <c r="D2077" s="2"/>
    </row>
    <row r="2078" spans="1:4" outlineLevel="1" x14ac:dyDescent="0.25">
      <c r="A2078" t="s">
        <v>320</v>
      </c>
      <c r="B2078" t="s">
        <v>45</v>
      </c>
      <c r="C2078" s="1" t="str">
        <f>HYPERLINK("http://продеталь.рф/search.html?article=2922581","2922581")</f>
        <v>2922581</v>
      </c>
      <c r="D2078" t="s">
        <v>46</v>
      </c>
    </row>
    <row r="2079" spans="1:4" outlineLevel="1" x14ac:dyDescent="0.25">
      <c r="A2079" t="s">
        <v>320</v>
      </c>
      <c r="B2079" t="s">
        <v>45</v>
      </c>
      <c r="C2079" s="1" t="str">
        <f>HYPERLINK("http://продеталь.рф/search.html?article=2922582","2922582")</f>
        <v>2922582</v>
      </c>
      <c r="D2079" t="s">
        <v>46</v>
      </c>
    </row>
    <row r="2080" spans="1:4" outlineLevel="1" x14ac:dyDescent="0.25">
      <c r="A2080" t="s">
        <v>320</v>
      </c>
      <c r="B2080" t="s">
        <v>3</v>
      </c>
      <c r="C2080" s="1" t="str">
        <f>HYPERLINK("http://продеталь.рф/search.html?article=205405082","205405082")</f>
        <v>205405082</v>
      </c>
      <c r="D2080" t="s">
        <v>4</v>
      </c>
    </row>
    <row r="2081" spans="1:4" outlineLevel="1" x14ac:dyDescent="0.25">
      <c r="A2081" t="s">
        <v>320</v>
      </c>
      <c r="B2081" t="s">
        <v>16</v>
      </c>
      <c r="C2081" s="1" t="str">
        <f>HYPERLINK("http://продеталь.рф/search.html?article=185268052","185268052")</f>
        <v>185268052</v>
      </c>
      <c r="D2081" t="s">
        <v>4</v>
      </c>
    </row>
    <row r="2082" spans="1:4" outlineLevel="1" x14ac:dyDescent="0.25">
      <c r="A2082" t="s">
        <v>320</v>
      </c>
      <c r="B2082" t="s">
        <v>16</v>
      </c>
      <c r="C2082" s="1" t="str">
        <f>HYPERLINK("http://продеталь.рф/search.html?article=185267052","185267052")</f>
        <v>185267052</v>
      </c>
      <c r="D2082" t="s">
        <v>4</v>
      </c>
    </row>
    <row r="2083" spans="1:4" x14ac:dyDescent="0.25">
      <c r="A2083" t="s">
        <v>321</v>
      </c>
      <c r="B2083" s="2" t="s">
        <v>321</v>
      </c>
      <c r="C2083" s="2"/>
      <c r="D2083" s="2"/>
    </row>
    <row r="2084" spans="1:4" outlineLevel="1" x14ac:dyDescent="0.25">
      <c r="A2084" t="s">
        <v>321</v>
      </c>
      <c r="B2084" t="s">
        <v>11</v>
      </c>
      <c r="C2084" s="1" t="str">
        <f>HYPERLINK("http://продеталь.рф/search.html?article=HD270000","HD270000")</f>
        <v>HD270000</v>
      </c>
      <c r="D2084" t="s">
        <v>9</v>
      </c>
    </row>
    <row r="2085" spans="1:4" outlineLevel="1" x14ac:dyDescent="0.25">
      <c r="A2085" t="s">
        <v>321</v>
      </c>
      <c r="B2085" t="s">
        <v>5</v>
      </c>
      <c r="C2085" s="1" t="str">
        <f>HYPERLINK("http://продеталь.рф/search.html?article=HD27016L1","HD27016L1")</f>
        <v>HD27016L1</v>
      </c>
      <c r="D2085" t="s">
        <v>9</v>
      </c>
    </row>
    <row r="2086" spans="1:4" outlineLevel="1" x14ac:dyDescent="0.25">
      <c r="A2086" t="s">
        <v>321</v>
      </c>
      <c r="B2086" t="s">
        <v>13</v>
      </c>
      <c r="C2086" s="1" t="str">
        <f>HYPERLINK("http://продеталь.рф/search.html?article=HD44089A","HD44089A")</f>
        <v>HD44089A</v>
      </c>
      <c r="D2086" t="s">
        <v>2</v>
      </c>
    </row>
    <row r="2087" spans="1:4" x14ac:dyDescent="0.25">
      <c r="A2087" t="s">
        <v>322</v>
      </c>
      <c r="B2087" s="2" t="s">
        <v>322</v>
      </c>
      <c r="C2087" s="2"/>
      <c r="D2087" s="2"/>
    </row>
    <row r="2088" spans="1:4" outlineLevel="1" x14ac:dyDescent="0.25">
      <c r="A2088" t="s">
        <v>322</v>
      </c>
      <c r="B2088" t="s">
        <v>11</v>
      </c>
      <c r="C2088" s="1" t="str">
        <f>HYPERLINK("http://продеталь.рф/search.html?article=HD04116BA","HD04116BA")</f>
        <v>HD04116BA</v>
      </c>
      <c r="D2088" t="s">
        <v>2</v>
      </c>
    </row>
    <row r="2089" spans="1:4" outlineLevel="1" x14ac:dyDescent="0.25">
      <c r="A2089" t="s">
        <v>322</v>
      </c>
      <c r="B2089" t="s">
        <v>11</v>
      </c>
      <c r="C2089" s="1" t="str">
        <f>HYPERLINK("http://продеталь.рф/search.html?article=HD28000B0","HD28000B0")</f>
        <v>HD28000B0</v>
      </c>
      <c r="D2089" t="s">
        <v>9</v>
      </c>
    </row>
    <row r="2090" spans="1:4" outlineLevel="1" x14ac:dyDescent="0.25">
      <c r="A2090" t="s">
        <v>322</v>
      </c>
      <c r="B2090" t="s">
        <v>35</v>
      </c>
      <c r="C2090" s="1" t="str">
        <f>HYPERLINK("http://продеталь.рф/search.html?article=312401","312401")</f>
        <v>312401</v>
      </c>
      <c r="D2090" t="s">
        <v>21</v>
      </c>
    </row>
    <row r="2091" spans="1:4" outlineLevel="1" x14ac:dyDescent="0.25">
      <c r="A2091" t="s">
        <v>322</v>
      </c>
      <c r="B2091" t="s">
        <v>1</v>
      </c>
      <c r="C2091" s="1" t="str">
        <f>HYPERLINK("http://продеталь.рф/search.html?article=HD28015C0","HD28015C0")</f>
        <v>HD28015C0</v>
      </c>
      <c r="D2091" t="s">
        <v>9</v>
      </c>
    </row>
    <row r="2092" spans="1:4" outlineLevel="1" x14ac:dyDescent="0.25">
      <c r="A2092" t="s">
        <v>322</v>
      </c>
      <c r="B2092" t="s">
        <v>1</v>
      </c>
      <c r="C2092" s="1" t="str">
        <f>HYPERLINK("http://продеталь.рф/search.html?article=HD20083A","HD20083A")</f>
        <v>HD20083A</v>
      </c>
      <c r="D2092" t="s">
        <v>2</v>
      </c>
    </row>
    <row r="2093" spans="1:4" outlineLevel="1" x14ac:dyDescent="0.25">
      <c r="A2093" t="s">
        <v>322</v>
      </c>
      <c r="B2093" t="s">
        <v>24</v>
      </c>
      <c r="C2093" s="1" t="str">
        <f>HYPERLINK("http://продеталь.рф/search.html?article=HD28016C2","HD28016C2")</f>
        <v>HD28016C2</v>
      </c>
      <c r="D2093" t="s">
        <v>9</v>
      </c>
    </row>
    <row r="2094" spans="1:4" outlineLevel="1" x14ac:dyDescent="0.25">
      <c r="A2094" t="s">
        <v>322</v>
      </c>
      <c r="B2094" t="s">
        <v>27</v>
      </c>
      <c r="C2094" s="1" t="str">
        <f>HYPERLINK("http://продеталь.рф/search.html?article=AC33000901000","AC33000901000")</f>
        <v>AC33000901000</v>
      </c>
      <c r="D2094" t="s">
        <v>9</v>
      </c>
    </row>
    <row r="2095" spans="1:4" outlineLevel="1" x14ac:dyDescent="0.25">
      <c r="A2095" t="s">
        <v>322</v>
      </c>
      <c r="B2095" t="s">
        <v>3</v>
      </c>
      <c r="C2095" s="1" t="str">
        <f>HYPERLINK("http://продеталь.рф/search.html?article=206361051","206361051")</f>
        <v>206361051</v>
      </c>
      <c r="D2095" t="s">
        <v>4</v>
      </c>
    </row>
    <row r="2096" spans="1:4" outlineLevel="1" x14ac:dyDescent="0.25">
      <c r="A2096" t="s">
        <v>322</v>
      </c>
      <c r="B2096" t="s">
        <v>5</v>
      </c>
      <c r="C2096" s="1" t="str">
        <f>HYPERLINK("http://продеталь.рф/search.html?article=HD28016LA2","HD28016LA2")</f>
        <v>HD28016LA2</v>
      </c>
      <c r="D2096" t="s">
        <v>9</v>
      </c>
    </row>
    <row r="2097" spans="1:4" outlineLevel="1" x14ac:dyDescent="0.25">
      <c r="A2097" t="s">
        <v>322</v>
      </c>
      <c r="B2097" t="s">
        <v>5</v>
      </c>
      <c r="C2097" s="1" t="str">
        <f>HYPERLINK("http://продеталь.рф/search.html?article=HD28016LA1","HD28016LA1")</f>
        <v>HD28016LA1</v>
      </c>
      <c r="D2097" t="s">
        <v>9</v>
      </c>
    </row>
    <row r="2098" spans="1:4" outlineLevel="1" x14ac:dyDescent="0.25">
      <c r="A2098" t="s">
        <v>322</v>
      </c>
      <c r="B2098" t="s">
        <v>28</v>
      </c>
      <c r="C2098" s="1" t="str">
        <f>HYPERLINK("http://продеталь.рф/search.html?article=RA68114","RA68114")</f>
        <v>RA68114</v>
      </c>
      <c r="D2098" t="s">
        <v>6</v>
      </c>
    </row>
    <row r="2099" spans="1:4" outlineLevel="1" x14ac:dyDescent="0.25">
      <c r="A2099" t="s">
        <v>322</v>
      </c>
      <c r="B2099" t="s">
        <v>40</v>
      </c>
      <c r="C2099" s="1" t="str">
        <f>HYPERLINK("http://продеталь.рф/search.html?article=HD07109GA","HD07109GA")</f>
        <v>HD07109GA</v>
      </c>
      <c r="D2099" t="s">
        <v>2</v>
      </c>
    </row>
    <row r="2100" spans="1:4" outlineLevel="1" x14ac:dyDescent="0.25">
      <c r="A2100" t="s">
        <v>322</v>
      </c>
      <c r="B2100" t="s">
        <v>118</v>
      </c>
      <c r="C2100" s="1" t="str">
        <f>HYPERLINK("http://продеталь.рф/search.html?article=SHD2005L","SHD2005L")</f>
        <v>SHD2005L</v>
      </c>
      <c r="D2100" t="s">
        <v>63</v>
      </c>
    </row>
    <row r="2101" spans="1:4" outlineLevel="1" x14ac:dyDescent="0.25">
      <c r="A2101" t="s">
        <v>322</v>
      </c>
      <c r="B2101" t="s">
        <v>118</v>
      </c>
      <c r="C2101" s="1" t="str">
        <f>HYPERLINK("http://продеталь.рф/search.html?article=SHD2005R","SHD2005R")</f>
        <v>SHD2005R</v>
      </c>
      <c r="D2101" t="s">
        <v>63</v>
      </c>
    </row>
    <row r="2102" spans="1:4" x14ac:dyDescent="0.25">
      <c r="A2102" t="s">
        <v>323</v>
      </c>
      <c r="B2102" s="2" t="s">
        <v>323</v>
      </c>
      <c r="C2102" s="2"/>
      <c r="D2102" s="2"/>
    </row>
    <row r="2103" spans="1:4" outlineLevel="1" x14ac:dyDescent="0.25">
      <c r="A2103" t="s">
        <v>323</v>
      </c>
      <c r="B2103" t="s">
        <v>27</v>
      </c>
      <c r="C2103" s="1" t="str">
        <f>HYPERLINK("http://продеталь.рф/search.html?article=HD30069A","HD30069A")</f>
        <v>HD30069A</v>
      </c>
      <c r="D2103" t="s">
        <v>2</v>
      </c>
    </row>
    <row r="2104" spans="1:4" outlineLevel="1" x14ac:dyDescent="0.25">
      <c r="A2104" t="s">
        <v>323</v>
      </c>
      <c r="B2104" t="s">
        <v>5</v>
      </c>
      <c r="C2104" s="1" t="str">
        <f>HYPERLINK("http://продеталь.рф/search.html?article=HD11113AL","HD11113AL")</f>
        <v>HD11113AL</v>
      </c>
      <c r="D2104" t="s">
        <v>2</v>
      </c>
    </row>
    <row r="2105" spans="1:4" outlineLevel="1" x14ac:dyDescent="0.25">
      <c r="A2105" t="s">
        <v>323</v>
      </c>
      <c r="B2105" t="s">
        <v>5</v>
      </c>
      <c r="C2105" s="1" t="str">
        <f>HYPERLINK("http://продеталь.рф/search.html?article=HD11113AR","HD11113AR")</f>
        <v>HD11113AR</v>
      </c>
      <c r="D2105" t="s">
        <v>2</v>
      </c>
    </row>
    <row r="2106" spans="1:4" outlineLevel="1" x14ac:dyDescent="0.25">
      <c r="A2106" t="s">
        <v>323</v>
      </c>
      <c r="B2106" t="s">
        <v>118</v>
      </c>
      <c r="C2106" s="1" t="str">
        <f>HYPERLINK("http://продеталь.рф/search.html?article=SHD2042R","SHD2042R")</f>
        <v>SHD2042R</v>
      </c>
      <c r="D2106" t="s">
        <v>63</v>
      </c>
    </row>
    <row r="2107" spans="1:4" x14ac:dyDescent="0.25">
      <c r="A2107" t="s">
        <v>324</v>
      </c>
      <c r="B2107" s="2" t="s">
        <v>324</v>
      </c>
      <c r="C2107" s="2"/>
      <c r="D2107" s="2"/>
    </row>
    <row r="2108" spans="1:4" outlineLevel="1" x14ac:dyDescent="0.25">
      <c r="A2108" t="s">
        <v>324</v>
      </c>
      <c r="B2108" t="s">
        <v>3</v>
      </c>
      <c r="C2108" s="1" t="str">
        <f>HYPERLINK("http://продеталь.рф/search.html?article=201293016B","201293016B")</f>
        <v>201293016B</v>
      </c>
      <c r="D2108" t="s">
        <v>4</v>
      </c>
    </row>
    <row r="2109" spans="1:4" outlineLevel="1" x14ac:dyDescent="0.25">
      <c r="A2109" t="s">
        <v>324</v>
      </c>
      <c r="B2109" t="s">
        <v>3</v>
      </c>
      <c r="C2109" s="1" t="str">
        <f>HYPERLINK("http://продеталь.рф/search.html?article=201292016B","201292016B")</f>
        <v>201292016B</v>
      </c>
      <c r="D2109" t="s">
        <v>4</v>
      </c>
    </row>
    <row r="2110" spans="1:4" x14ac:dyDescent="0.25">
      <c r="A2110" t="s">
        <v>325</v>
      </c>
      <c r="B2110" s="2" t="s">
        <v>325</v>
      </c>
      <c r="C2110" s="2"/>
      <c r="D2110" s="2"/>
    </row>
    <row r="2111" spans="1:4" outlineLevel="1" x14ac:dyDescent="0.25">
      <c r="A2111" t="s">
        <v>325</v>
      </c>
      <c r="B2111" t="s">
        <v>11</v>
      </c>
      <c r="C2111" s="1" t="str">
        <f>HYPERLINK("http://продеталь.рф/search.html?article=HD04008BAZ","HD04008BAZ")</f>
        <v>HD04008BAZ</v>
      </c>
      <c r="D2111" t="s">
        <v>2</v>
      </c>
    </row>
    <row r="2112" spans="1:4" outlineLevel="1" x14ac:dyDescent="0.25">
      <c r="A2112" t="s">
        <v>325</v>
      </c>
      <c r="B2112" t="s">
        <v>326</v>
      </c>
      <c r="C2112" s="1" t="str">
        <f>HYPERLINK("http://продеталь.рф/search.html?article=ZHD1915R","ZHD1915R")</f>
        <v>ZHD1915R</v>
      </c>
      <c r="D2112" t="s">
        <v>6</v>
      </c>
    </row>
    <row r="2113" spans="1:4" outlineLevel="1" x14ac:dyDescent="0.25">
      <c r="A2113" t="s">
        <v>325</v>
      </c>
      <c r="B2113" t="s">
        <v>45</v>
      </c>
      <c r="C2113" s="1" t="str">
        <f>HYPERLINK("http://продеталь.рф/search.html?article=2909591","2909591")</f>
        <v>2909591</v>
      </c>
      <c r="D2113" t="s">
        <v>46</v>
      </c>
    </row>
    <row r="2114" spans="1:4" outlineLevel="1" x14ac:dyDescent="0.25">
      <c r="A2114" t="s">
        <v>325</v>
      </c>
      <c r="B2114" t="s">
        <v>1</v>
      </c>
      <c r="C2114" s="1" t="str">
        <f>HYPERLINK("http://продеталь.рф/search.html?article=HD20015A","HD20015A")</f>
        <v>HD20015A</v>
      </c>
      <c r="D2114" t="s">
        <v>2</v>
      </c>
    </row>
    <row r="2115" spans="1:4" outlineLevel="1" x14ac:dyDescent="0.25">
      <c r="A2115" t="s">
        <v>325</v>
      </c>
      <c r="B2115" t="s">
        <v>1</v>
      </c>
      <c r="C2115" s="1" t="str">
        <f>HYPERLINK("http://продеталь.рф/search.html?article=HD05015A0","HD05015A0")</f>
        <v>HD05015A0</v>
      </c>
      <c r="D2115" t="s">
        <v>9</v>
      </c>
    </row>
    <row r="2116" spans="1:4" outlineLevel="1" x14ac:dyDescent="0.25">
      <c r="A2116" t="s">
        <v>325</v>
      </c>
      <c r="B2116" t="s">
        <v>24</v>
      </c>
      <c r="C2116" s="1" t="str">
        <f>HYPERLINK("http://продеталь.рф/search.html?article=HD050162","HD050162")</f>
        <v>HD050162</v>
      </c>
      <c r="D2116" t="s">
        <v>9</v>
      </c>
    </row>
    <row r="2117" spans="1:4" outlineLevel="1" x14ac:dyDescent="0.25">
      <c r="A2117" t="s">
        <v>325</v>
      </c>
      <c r="B2117" t="s">
        <v>24</v>
      </c>
      <c r="C2117" s="1" t="str">
        <f>HYPERLINK("http://продеталь.рф/search.html?article=HD050161","HD050161")</f>
        <v>HD050161</v>
      </c>
      <c r="D2117" t="s">
        <v>9</v>
      </c>
    </row>
    <row r="2118" spans="1:4" outlineLevel="1" x14ac:dyDescent="0.25">
      <c r="A2118" t="s">
        <v>325</v>
      </c>
      <c r="B2118" t="s">
        <v>3</v>
      </c>
      <c r="C2118" s="1" t="str">
        <f>HYPERLINK("http://продеталь.рф/search.html?article=201775016","201775016")</f>
        <v>201775016</v>
      </c>
      <c r="D2118" t="s">
        <v>4</v>
      </c>
    </row>
    <row r="2119" spans="1:4" outlineLevel="1" x14ac:dyDescent="0.25">
      <c r="A2119" t="s">
        <v>325</v>
      </c>
      <c r="B2119" t="s">
        <v>3</v>
      </c>
      <c r="C2119" s="1" t="str">
        <f>HYPERLINK("http://продеталь.рф/search.html?article=201774016","201774016")</f>
        <v>201774016</v>
      </c>
      <c r="D2119" t="s">
        <v>4</v>
      </c>
    </row>
    <row r="2120" spans="1:4" outlineLevel="1" x14ac:dyDescent="0.25">
      <c r="A2120" t="s">
        <v>325</v>
      </c>
      <c r="B2120" t="s">
        <v>54</v>
      </c>
      <c r="C2120" s="1" t="str">
        <f>HYPERLINK("http://продеталь.рф/search.html?article=2909001","2909001")</f>
        <v>2909001</v>
      </c>
      <c r="D2120" t="s">
        <v>46</v>
      </c>
    </row>
    <row r="2121" spans="1:4" outlineLevel="1" x14ac:dyDescent="0.25">
      <c r="A2121" t="s">
        <v>325</v>
      </c>
      <c r="B2121" t="s">
        <v>16</v>
      </c>
      <c r="C2121" s="1" t="str">
        <f>HYPERLINK("http://продеталь.рф/search.html?article=181826012","181826012")</f>
        <v>181826012</v>
      </c>
      <c r="D2121" t="s">
        <v>4</v>
      </c>
    </row>
    <row r="2122" spans="1:4" x14ac:dyDescent="0.25">
      <c r="A2122" t="s">
        <v>327</v>
      </c>
      <c r="B2122" s="2" t="s">
        <v>327</v>
      </c>
      <c r="C2122" s="2"/>
      <c r="D2122" s="2"/>
    </row>
    <row r="2123" spans="1:4" outlineLevel="1" x14ac:dyDescent="0.25">
      <c r="A2123" t="s">
        <v>327</v>
      </c>
      <c r="B2123" t="s">
        <v>11</v>
      </c>
      <c r="C2123" s="1" t="str">
        <f>HYPERLINK("http://продеталь.рф/search.html?article=HD060000","HD060000")</f>
        <v>HD060000</v>
      </c>
      <c r="D2123" t="s">
        <v>9</v>
      </c>
    </row>
    <row r="2124" spans="1:4" outlineLevel="1" x14ac:dyDescent="0.25">
      <c r="A2124" t="s">
        <v>327</v>
      </c>
      <c r="B2124" t="s">
        <v>79</v>
      </c>
      <c r="C2124" s="1" t="str">
        <f>HYPERLINK("http://продеталь.рф/search.html?article=RDHD600070","RDHD600070")</f>
        <v>RDHD600070</v>
      </c>
      <c r="D2124" t="s">
        <v>6</v>
      </c>
    </row>
    <row r="2125" spans="1:4" outlineLevel="1" x14ac:dyDescent="0.25">
      <c r="A2125" t="s">
        <v>327</v>
      </c>
      <c r="B2125" t="s">
        <v>45</v>
      </c>
      <c r="C2125" s="1" t="str">
        <f>HYPERLINK("http://продеталь.рф/search.html?article=2911582","2911582")</f>
        <v>2911582</v>
      </c>
      <c r="D2125" t="s">
        <v>46</v>
      </c>
    </row>
    <row r="2126" spans="1:4" outlineLevel="1" x14ac:dyDescent="0.25">
      <c r="A2126" t="s">
        <v>327</v>
      </c>
      <c r="B2126" t="s">
        <v>45</v>
      </c>
      <c r="C2126" s="1" t="str">
        <f>HYPERLINK("http://продеталь.рф/search.html?article=2911592","2911592")</f>
        <v>2911592</v>
      </c>
      <c r="D2126" t="s">
        <v>46</v>
      </c>
    </row>
    <row r="2127" spans="1:4" outlineLevel="1" x14ac:dyDescent="0.25">
      <c r="A2127" t="s">
        <v>327</v>
      </c>
      <c r="B2127" t="s">
        <v>45</v>
      </c>
      <c r="C2127" s="1" t="str">
        <f>HYPERLINK("http://продеталь.рф/search.html?article=2911581","2911581")</f>
        <v>2911581</v>
      </c>
      <c r="D2127" t="s">
        <v>46</v>
      </c>
    </row>
    <row r="2128" spans="1:4" outlineLevel="1" x14ac:dyDescent="0.25">
      <c r="A2128" t="s">
        <v>327</v>
      </c>
      <c r="B2128" t="s">
        <v>1</v>
      </c>
      <c r="C2128" s="1" t="str">
        <f>HYPERLINK("http://продеталь.рф/search.html?article=HD060150","HD060150")</f>
        <v>HD060150</v>
      </c>
      <c r="D2128" t="s">
        <v>9</v>
      </c>
    </row>
    <row r="2129" spans="1:4" outlineLevel="1" x14ac:dyDescent="0.25">
      <c r="A2129" t="s">
        <v>327</v>
      </c>
      <c r="B2129" t="s">
        <v>1</v>
      </c>
      <c r="C2129" s="1" t="str">
        <f>HYPERLINK("http://продеталь.рф/search.html?article=99322","99322")</f>
        <v>99322</v>
      </c>
      <c r="D2129" t="s">
        <v>36</v>
      </c>
    </row>
    <row r="2130" spans="1:4" outlineLevel="1" x14ac:dyDescent="0.25">
      <c r="A2130" t="s">
        <v>327</v>
      </c>
      <c r="B2130" t="s">
        <v>24</v>
      </c>
      <c r="C2130" s="1" t="str">
        <f>HYPERLINK("http://продеталь.рф/search.html?article=HD060162","HD060162")</f>
        <v>HD060162</v>
      </c>
      <c r="D2130" t="s">
        <v>9</v>
      </c>
    </row>
    <row r="2131" spans="1:4" outlineLevel="1" x14ac:dyDescent="0.25">
      <c r="A2131" t="s">
        <v>327</v>
      </c>
      <c r="B2131" t="s">
        <v>24</v>
      </c>
      <c r="C2131" s="1" t="str">
        <f>HYPERLINK("http://продеталь.рф/search.html?article=HD060161","HD060161")</f>
        <v>HD060161</v>
      </c>
      <c r="D2131" t="s">
        <v>9</v>
      </c>
    </row>
    <row r="2132" spans="1:4" outlineLevel="1" x14ac:dyDescent="0.25">
      <c r="A2132" t="s">
        <v>327</v>
      </c>
      <c r="B2132" t="s">
        <v>24</v>
      </c>
      <c r="C2132" s="1" t="str">
        <f>HYPERLINK("http://продеталь.рф/search.html?article=HD06016C2","HD06016C2")</f>
        <v>HD06016C2</v>
      </c>
      <c r="D2132" t="s">
        <v>9</v>
      </c>
    </row>
    <row r="2133" spans="1:4" outlineLevel="1" x14ac:dyDescent="0.25">
      <c r="A2133" t="s">
        <v>327</v>
      </c>
      <c r="B2133" t="s">
        <v>24</v>
      </c>
      <c r="C2133" s="1" t="str">
        <f>HYPERLINK("http://продеталь.рф/search.html?article=HD06016C1","HD06016C1")</f>
        <v>HD06016C1</v>
      </c>
      <c r="D2133" t="s">
        <v>9</v>
      </c>
    </row>
    <row r="2134" spans="1:4" outlineLevel="1" x14ac:dyDescent="0.25">
      <c r="A2134" t="s">
        <v>327</v>
      </c>
      <c r="B2134" t="s">
        <v>27</v>
      </c>
      <c r="C2134" s="1" t="str">
        <f>HYPERLINK("http://продеталь.рф/search.html?article=HD06000900000","HD06000900000")</f>
        <v>HD06000900000</v>
      </c>
      <c r="D2134" t="s">
        <v>9</v>
      </c>
    </row>
    <row r="2135" spans="1:4" outlineLevel="1" x14ac:dyDescent="0.25">
      <c r="A2135" t="s">
        <v>327</v>
      </c>
      <c r="B2135" t="s">
        <v>3</v>
      </c>
      <c r="C2135" s="1" t="str">
        <f>HYPERLINK("http://продеталь.рф/search.html?article=203112082","203112082")</f>
        <v>203112082</v>
      </c>
      <c r="D2135" t="s">
        <v>4</v>
      </c>
    </row>
    <row r="2136" spans="1:4" outlineLevel="1" x14ac:dyDescent="0.25">
      <c r="A2136" t="s">
        <v>327</v>
      </c>
      <c r="B2136" t="s">
        <v>3</v>
      </c>
      <c r="C2136" s="1" t="str">
        <f>HYPERLINK("http://продеталь.рф/search.html?article=203112182","203112182")</f>
        <v>203112182</v>
      </c>
      <c r="D2136" t="s">
        <v>4</v>
      </c>
    </row>
    <row r="2137" spans="1:4" outlineLevel="1" x14ac:dyDescent="0.25">
      <c r="A2137" t="s">
        <v>327</v>
      </c>
      <c r="B2137" t="s">
        <v>3</v>
      </c>
      <c r="C2137" s="1" t="str">
        <f>HYPERLINK("http://продеталь.рф/search.html?article=203113182","203113182")</f>
        <v>203113182</v>
      </c>
      <c r="D2137" t="s">
        <v>4</v>
      </c>
    </row>
    <row r="2138" spans="1:4" outlineLevel="1" x14ac:dyDescent="0.25">
      <c r="A2138" t="s">
        <v>327</v>
      </c>
      <c r="B2138" t="s">
        <v>5</v>
      </c>
      <c r="C2138" s="1" t="str">
        <f>HYPERLINK("http://продеталь.рф/search.html?article=HD11027AL","HD11027AL")</f>
        <v>HD11027AL</v>
      </c>
      <c r="D2138" t="s">
        <v>99</v>
      </c>
    </row>
    <row r="2139" spans="1:4" outlineLevel="1" x14ac:dyDescent="0.25">
      <c r="A2139" t="s">
        <v>327</v>
      </c>
      <c r="B2139" t="s">
        <v>5</v>
      </c>
      <c r="C2139" s="1" t="str">
        <f>HYPERLINK("http://продеталь.рф/search.html?article=HD11027AR","HD11027AR")</f>
        <v>HD11027AR</v>
      </c>
      <c r="D2139" t="s">
        <v>99</v>
      </c>
    </row>
    <row r="2140" spans="1:4" outlineLevel="1" x14ac:dyDescent="0.25">
      <c r="A2140" t="s">
        <v>327</v>
      </c>
      <c r="B2140" t="s">
        <v>28</v>
      </c>
      <c r="C2140" s="1" t="str">
        <f>HYPERLINK("http://продеталь.рф/search.html?article=RA68600","RA68600")</f>
        <v>RA68600</v>
      </c>
      <c r="D2140" t="s">
        <v>6</v>
      </c>
    </row>
    <row r="2141" spans="1:4" outlineLevel="1" x14ac:dyDescent="0.25">
      <c r="A2141" t="s">
        <v>327</v>
      </c>
      <c r="B2141" t="s">
        <v>16</v>
      </c>
      <c r="C2141" s="1" t="str">
        <f>HYPERLINK("http://продеталь.рф/search.html?article=183234052","183234052")</f>
        <v>183234052</v>
      </c>
      <c r="D2141" t="s">
        <v>4</v>
      </c>
    </row>
    <row r="2142" spans="1:4" outlineLevel="1" x14ac:dyDescent="0.25">
      <c r="A2142" t="s">
        <v>327</v>
      </c>
      <c r="B2142" t="s">
        <v>16</v>
      </c>
      <c r="C2142" s="1" t="str">
        <f>HYPERLINK("http://продеталь.рф/search.html?article=183233052","183233052")</f>
        <v>183233052</v>
      </c>
      <c r="D2142" t="s">
        <v>4</v>
      </c>
    </row>
    <row r="2143" spans="1:4" outlineLevel="1" x14ac:dyDescent="0.25">
      <c r="A2143" t="s">
        <v>327</v>
      </c>
      <c r="B2143" t="s">
        <v>16</v>
      </c>
      <c r="C2143" s="1" t="str">
        <f>HYPERLINK("http://продеталь.рф/search.html?article=181931052","181931052")</f>
        <v>181931052</v>
      </c>
      <c r="D2143" t="s">
        <v>4</v>
      </c>
    </row>
    <row r="2144" spans="1:4" outlineLevel="1" x14ac:dyDescent="0.25">
      <c r="A2144" t="s">
        <v>327</v>
      </c>
      <c r="B2144" t="s">
        <v>64</v>
      </c>
      <c r="C2144" s="1" t="str">
        <f>HYPERLINK("http://продеталь.рф/search.html?article=121400001A","121400001A")</f>
        <v>121400001A</v>
      </c>
      <c r="D2144" t="s">
        <v>4</v>
      </c>
    </row>
    <row r="2145" spans="1:4" x14ac:dyDescent="0.25">
      <c r="A2145" t="s">
        <v>328</v>
      </c>
      <c r="B2145" s="2" t="s">
        <v>328</v>
      </c>
      <c r="C2145" s="2"/>
      <c r="D2145" s="2"/>
    </row>
    <row r="2146" spans="1:4" outlineLevel="1" x14ac:dyDescent="0.25">
      <c r="A2146" t="s">
        <v>328</v>
      </c>
      <c r="B2146" t="s">
        <v>11</v>
      </c>
      <c r="C2146" s="1" t="str">
        <f>HYPERLINK("http://продеталь.рф/search.html?article=HD07000C0","HD07000C0")</f>
        <v>HD07000C0</v>
      </c>
      <c r="D2146" t="s">
        <v>9</v>
      </c>
    </row>
    <row r="2147" spans="1:4" outlineLevel="1" x14ac:dyDescent="0.25">
      <c r="A2147" t="s">
        <v>328</v>
      </c>
      <c r="B2147" t="s">
        <v>15</v>
      </c>
      <c r="C2147" s="1" t="str">
        <f>HYPERLINK("http://продеталь.рф/search.html?article=3120024","3120024")</f>
        <v>3120024</v>
      </c>
      <c r="D2147" t="s">
        <v>4</v>
      </c>
    </row>
    <row r="2148" spans="1:4" outlineLevel="1" x14ac:dyDescent="0.25">
      <c r="A2148" t="s">
        <v>328</v>
      </c>
      <c r="B2148" t="s">
        <v>15</v>
      </c>
      <c r="C2148" s="1" t="str">
        <f>HYPERLINK("http://продеталь.рф/search.html?article=3120023","3120023")</f>
        <v>3120023</v>
      </c>
      <c r="D2148" t="s">
        <v>4</v>
      </c>
    </row>
    <row r="2149" spans="1:4" outlineLevel="1" x14ac:dyDescent="0.25">
      <c r="A2149" t="s">
        <v>328</v>
      </c>
      <c r="B2149" t="s">
        <v>159</v>
      </c>
      <c r="C2149" s="1" t="str">
        <f>HYPERLINK("http://продеталь.рф/search.html?article=HD073930","HD073930")</f>
        <v>HD073930</v>
      </c>
      <c r="D2149" t="s">
        <v>9</v>
      </c>
    </row>
    <row r="2150" spans="1:4" outlineLevel="1" x14ac:dyDescent="0.25">
      <c r="A2150" t="s">
        <v>328</v>
      </c>
      <c r="B2150" t="s">
        <v>45</v>
      </c>
      <c r="C2150" s="1" t="str">
        <f>HYPERLINK("http://продеталь.рф/search.html?article=2935581","2935581")</f>
        <v>2935581</v>
      </c>
      <c r="D2150" t="s">
        <v>46</v>
      </c>
    </row>
    <row r="2151" spans="1:4" outlineLevel="1" x14ac:dyDescent="0.25">
      <c r="A2151" t="s">
        <v>328</v>
      </c>
      <c r="B2151" t="s">
        <v>45</v>
      </c>
      <c r="C2151" s="1" t="str">
        <f>HYPERLINK("http://продеталь.рф/search.html?article=2935582","2935582")</f>
        <v>2935582</v>
      </c>
      <c r="D2151" t="s">
        <v>46</v>
      </c>
    </row>
    <row r="2152" spans="1:4" outlineLevel="1" x14ac:dyDescent="0.25">
      <c r="A2152" t="s">
        <v>328</v>
      </c>
      <c r="B2152" t="s">
        <v>45</v>
      </c>
      <c r="C2152" s="1" t="str">
        <f>HYPERLINK("http://продеталь.рф/search.html?article=2936592","2936592")</f>
        <v>2936592</v>
      </c>
      <c r="D2152" t="s">
        <v>46</v>
      </c>
    </row>
    <row r="2153" spans="1:4" outlineLevel="1" x14ac:dyDescent="0.25">
      <c r="A2153" t="s">
        <v>328</v>
      </c>
      <c r="B2153" t="s">
        <v>45</v>
      </c>
      <c r="C2153" s="1" t="str">
        <f>HYPERLINK("http://продеталь.рф/search.html?article=2936581","2936581")</f>
        <v>2936581</v>
      </c>
      <c r="D2153" t="s">
        <v>46</v>
      </c>
    </row>
    <row r="2154" spans="1:4" outlineLevel="1" x14ac:dyDescent="0.25">
      <c r="A2154" t="s">
        <v>328</v>
      </c>
      <c r="B2154" t="s">
        <v>24</v>
      </c>
      <c r="C2154" s="1" t="str">
        <f>HYPERLINK("http://продеталь.рф/search.html?article=HD07016A2","HD07016A2")</f>
        <v>HD07016A2</v>
      </c>
      <c r="D2154" t="s">
        <v>9</v>
      </c>
    </row>
    <row r="2155" spans="1:4" outlineLevel="1" x14ac:dyDescent="0.25">
      <c r="A2155" t="s">
        <v>328</v>
      </c>
      <c r="B2155" t="s">
        <v>26</v>
      </c>
      <c r="C2155" s="1" t="str">
        <f>HYPERLINK("http://продеталь.рф/search.html?article=HD07000P1","HD07000P1")</f>
        <v>HD07000P1</v>
      </c>
      <c r="D2155" t="s">
        <v>9</v>
      </c>
    </row>
    <row r="2156" spans="1:4" outlineLevel="1" x14ac:dyDescent="0.25">
      <c r="A2156" t="s">
        <v>328</v>
      </c>
      <c r="B2156" t="s">
        <v>27</v>
      </c>
      <c r="C2156" s="1" t="str">
        <f>HYPERLINK("http://продеталь.рф/search.html?article=HD30019A","HD30019A")</f>
        <v>HD30019A</v>
      </c>
      <c r="D2156" t="s">
        <v>2</v>
      </c>
    </row>
    <row r="2157" spans="1:4" outlineLevel="1" x14ac:dyDescent="0.25">
      <c r="A2157" t="s">
        <v>328</v>
      </c>
      <c r="B2157" t="s">
        <v>3</v>
      </c>
      <c r="C2157" s="1" t="str">
        <f>HYPERLINK("http://продеталь.рф/search.html?article=203184012","203184012")</f>
        <v>203184012</v>
      </c>
      <c r="D2157" t="s">
        <v>4</v>
      </c>
    </row>
    <row r="2158" spans="1:4" outlineLevel="1" x14ac:dyDescent="0.25">
      <c r="A2158" t="s">
        <v>328</v>
      </c>
      <c r="B2158" t="s">
        <v>3</v>
      </c>
      <c r="C2158" s="1" t="str">
        <f>HYPERLINK("http://продеталь.рф/search.html?article=203183012","203183012")</f>
        <v>203183012</v>
      </c>
      <c r="D2158" t="s">
        <v>4</v>
      </c>
    </row>
    <row r="2159" spans="1:4" outlineLevel="1" x14ac:dyDescent="0.25">
      <c r="A2159" t="s">
        <v>328</v>
      </c>
      <c r="B2159" t="s">
        <v>3</v>
      </c>
      <c r="C2159" s="1" t="str">
        <f>HYPERLINK("http://продеталь.рф/search.html?article=203184112","203184112")</f>
        <v>203184112</v>
      </c>
      <c r="D2159" t="s">
        <v>4</v>
      </c>
    </row>
    <row r="2160" spans="1:4" outlineLevel="1" x14ac:dyDescent="0.25">
      <c r="A2160" t="s">
        <v>328</v>
      </c>
      <c r="B2160" t="s">
        <v>5</v>
      </c>
      <c r="C2160" s="1" t="str">
        <f>HYPERLINK("http://продеталь.рф/search.html?article=HD11035AL","HD11035AL")</f>
        <v>HD11035AL</v>
      </c>
      <c r="D2160" t="s">
        <v>99</v>
      </c>
    </row>
    <row r="2161" spans="1:4" outlineLevel="1" x14ac:dyDescent="0.25">
      <c r="A2161" t="s">
        <v>328</v>
      </c>
      <c r="B2161" t="s">
        <v>5</v>
      </c>
      <c r="C2161" s="1" t="str">
        <f>HYPERLINK("http://продеталь.рф/search.html?article=HD11035AR","HD11035AR")</f>
        <v>HD11035AR</v>
      </c>
      <c r="D2161" t="s">
        <v>99</v>
      </c>
    </row>
    <row r="2162" spans="1:4" outlineLevel="1" x14ac:dyDescent="0.25">
      <c r="A2162" t="s">
        <v>328</v>
      </c>
      <c r="B2162" t="s">
        <v>12</v>
      </c>
      <c r="C2162" s="1" t="str">
        <f>HYPERLINK("http://продеталь.рф/search.html?article=HD07093C0","HD07093C0")</f>
        <v>HD07093C0</v>
      </c>
      <c r="D2162" t="s">
        <v>9</v>
      </c>
    </row>
    <row r="2163" spans="1:4" outlineLevel="1" x14ac:dyDescent="0.25">
      <c r="A2163" t="s">
        <v>328</v>
      </c>
      <c r="B2163" t="s">
        <v>13</v>
      </c>
      <c r="C2163" s="1" t="str">
        <f>HYPERLINK("http://продеталь.рф/search.html?article=HD07000RA0","HD07000RA0")</f>
        <v>HD07000RA0</v>
      </c>
      <c r="D2163" t="s">
        <v>9</v>
      </c>
    </row>
    <row r="2164" spans="1:4" x14ac:dyDescent="0.25">
      <c r="A2164" t="s">
        <v>329</v>
      </c>
      <c r="B2164" s="2" t="s">
        <v>329</v>
      </c>
      <c r="C2164" s="2"/>
      <c r="D2164" s="2"/>
    </row>
    <row r="2165" spans="1:4" outlineLevel="1" x14ac:dyDescent="0.25">
      <c r="A2165" t="s">
        <v>329</v>
      </c>
      <c r="B2165" t="s">
        <v>11</v>
      </c>
      <c r="C2165" s="1" t="str">
        <f>HYPERLINK("http://продеталь.рф/search.html?article=HD07000L0","HD07000L0")</f>
        <v>HD07000L0</v>
      </c>
      <c r="D2165" t="s">
        <v>9</v>
      </c>
    </row>
    <row r="2166" spans="1:4" outlineLevel="1" x14ac:dyDescent="0.25">
      <c r="A2166" t="s">
        <v>329</v>
      </c>
      <c r="B2166" t="s">
        <v>11</v>
      </c>
      <c r="C2166" s="1" t="str">
        <f>HYPERLINK("http://продеталь.рф/search.html?article=HD07087H0","HD07087H0")</f>
        <v>HD07087H0</v>
      </c>
      <c r="D2166" t="s">
        <v>9</v>
      </c>
    </row>
    <row r="2167" spans="1:4" outlineLevel="1" x14ac:dyDescent="0.25">
      <c r="A2167" t="s">
        <v>329</v>
      </c>
      <c r="B2167" t="s">
        <v>11</v>
      </c>
      <c r="C2167" s="1" t="str">
        <f>HYPERLINK("http://продеталь.рф/search.html?article=HD04089BAZ","HD04089BAZ")</f>
        <v>HD04089BAZ</v>
      </c>
      <c r="D2167" t="s">
        <v>2</v>
      </c>
    </row>
    <row r="2168" spans="1:4" outlineLevel="1" x14ac:dyDescent="0.25">
      <c r="A2168" t="s">
        <v>329</v>
      </c>
      <c r="B2168" t="s">
        <v>159</v>
      </c>
      <c r="C2168" s="1" t="str">
        <f>HYPERLINK("http://продеталь.рф/search.html?article=RDHD661AC","RDHD661AC")</f>
        <v>RDHD661AC</v>
      </c>
      <c r="D2168" t="s">
        <v>6</v>
      </c>
    </row>
    <row r="2169" spans="1:4" outlineLevel="1" x14ac:dyDescent="0.25">
      <c r="A2169" t="s">
        <v>329</v>
      </c>
      <c r="B2169" t="s">
        <v>79</v>
      </c>
      <c r="C2169" s="1" t="str">
        <f>HYPERLINK("http://продеталь.рф/search.html?article=HD07004A0","HD07004A0")</f>
        <v>HD07004A0</v>
      </c>
      <c r="D2169" t="s">
        <v>9</v>
      </c>
    </row>
    <row r="2170" spans="1:4" outlineLevel="1" x14ac:dyDescent="0.25">
      <c r="A2170" t="s">
        <v>329</v>
      </c>
      <c r="B2170" t="s">
        <v>1</v>
      </c>
      <c r="C2170" s="1" t="str">
        <f>HYPERLINK("http://продеталь.рф/search.html?article=HD07015A0","HD07015A0")</f>
        <v>HD07015A0</v>
      </c>
      <c r="D2170" t="s">
        <v>9</v>
      </c>
    </row>
    <row r="2171" spans="1:4" outlineLevel="1" x14ac:dyDescent="0.25">
      <c r="A2171" t="s">
        <v>329</v>
      </c>
      <c r="B2171" t="s">
        <v>24</v>
      </c>
      <c r="C2171" s="1" t="str">
        <f>HYPERLINK("http://продеталь.рф/search.html?article=HD07016C1","HD07016C1")</f>
        <v>HD07016C1</v>
      </c>
      <c r="D2171" t="s">
        <v>9</v>
      </c>
    </row>
    <row r="2172" spans="1:4" outlineLevel="1" x14ac:dyDescent="0.25">
      <c r="A2172" t="s">
        <v>329</v>
      </c>
      <c r="B2172" t="s">
        <v>3</v>
      </c>
      <c r="C2172" s="1" t="str">
        <f>HYPERLINK("http://продеталь.рф/search.html?article=205661011A","205661011A")</f>
        <v>205661011A</v>
      </c>
      <c r="D2172" t="s">
        <v>4</v>
      </c>
    </row>
    <row r="2173" spans="1:4" x14ac:dyDescent="0.25">
      <c r="A2173" t="s">
        <v>330</v>
      </c>
      <c r="B2173" s="2" t="s">
        <v>330</v>
      </c>
      <c r="C2173" s="2"/>
      <c r="D2173" s="2"/>
    </row>
    <row r="2174" spans="1:4" outlineLevel="1" x14ac:dyDescent="0.25">
      <c r="A2174" t="s">
        <v>330</v>
      </c>
      <c r="B2174" t="s">
        <v>11</v>
      </c>
      <c r="C2174" s="1" t="str">
        <f>HYPERLINK("http://продеталь.рф/search.html?article=HD04104BA","HD04104BA")</f>
        <v>HD04104BA</v>
      </c>
      <c r="D2174" t="s">
        <v>2</v>
      </c>
    </row>
    <row r="2175" spans="1:4" outlineLevel="1" x14ac:dyDescent="0.25">
      <c r="A2175" t="s">
        <v>330</v>
      </c>
      <c r="B2175" t="s">
        <v>11</v>
      </c>
      <c r="C2175" s="1" t="str">
        <f>HYPERLINK("http://продеталь.рф/search.html?article=3035D","3035D")</f>
        <v>3035D</v>
      </c>
      <c r="D2175" t="s">
        <v>36</v>
      </c>
    </row>
    <row r="2176" spans="1:4" outlineLevel="1" x14ac:dyDescent="0.25">
      <c r="A2176" t="s">
        <v>330</v>
      </c>
      <c r="B2176" t="s">
        <v>159</v>
      </c>
      <c r="C2176" s="1" t="str">
        <f>HYPERLINK("http://продеталь.рф/search.html?article=HD083930","HD083930")</f>
        <v>HD083930</v>
      </c>
      <c r="D2176" t="s">
        <v>9</v>
      </c>
    </row>
    <row r="2177" spans="1:4" outlineLevel="1" x14ac:dyDescent="0.25">
      <c r="A2177" t="s">
        <v>330</v>
      </c>
      <c r="B2177" t="s">
        <v>79</v>
      </c>
      <c r="C2177" s="1" t="str">
        <f>HYPERLINK("http://продеталь.рф/search.html?article=HD080040","HD080040")</f>
        <v>HD080040</v>
      </c>
      <c r="D2177" t="s">
        <v>9</v>
      </c>
    </row>
    <row r="2178" spans="1:4" outlineLevel="1" x14ac:dyDescent="0.25">
      <c r="A2178" t="s">
        <v>330</v>
      </c>
      <c r="B2178" t="s">
        <v>331</v>
      </c>
      <c r="C2178" s="1" t="str">
        <f>HYPERLINK("http://продеталь.рф/search.html?article=HD08015LA0","HD08015LA0")</f>
        <v>HD08015LA0</v>
      </c>
      <c r="D2178" t="s">
        <v>9</v>
      </c>
    </row>
    <row r="2179" spans="1:4" outlineLevel="1" x14ac:dyDescent="0.25">
      <c r="A2179" t="s">
        <v>330</v>
      </c>
      <c r="B2179" t="s">
        <v>35</v>
      </c>
      <c r="C2179" s="1" t="str">
        <f>HYPERLINK("http://продеталь.рф/search.html?article=HD080250","HD080250")</f>
        <v>HD080250</v>
      </c>
      <c r="D2179" t="s">
        <v>9</v>
      </c>
    </row>
    <row r="2180" spans="1:4" outlineLevel="1" x14ac:dyDescent="0.25">
      <c r="A2180" t="s">
        <v>330</v>
      </c>
      <c r="B2180" t="s">
        <v>35</v>
      </c>
      <c r="C2180" s="1" t="str">
        <f>HYPERLINK("http://продеталь.рф/search.html?article=PHD60009B","PHD60009B")</f>
        <v>PHD60009B</v>
      </c>
      <c r="D2180" t="s">
        <v>6</v>
      </c>
    </row>
    <row r="2181" spans="1:4" outlineLevel="1" x14ac:dyDescent="0.25">
      <c r="A2181" t="s">
        <v>330</v>
      </c>
      <c r="B2181" t="s">
        <v>84</v>
      </c>
      <c r="C2181" s="1" t="str">
        <f>HYPERLINK("http://продеталь.рф/search.html?article=HD080112","HD080112")</f>
        <v>HD080112</v>
      </c>
      <c r="D2181" t="s">
        <v>9</v>
      </c>
    </row>
    <row r="2182" spans="1:4" outlineLevel="1" x14ac:dyDescent="0.25">
      <c r="A2182" t="s">
        <v>330</v>
      </c>
      <c r="B2182" t="s">
        <v>84</v>
      </c>
      <c r="C2182" s="1" t="str">
        <f>HYPERLINK("http://продеталь.рф/search.html?article=HD080111","HD080111")</f>
        <v>HD080111</v>
      </c>
      <c r="D2182" t="s">
        <v>9</v>
      </c>
    </row>
    <row r="2183" spans="1:4" outlineLevel="1" x14ac:dyDescent="0.25">
      <c r="A2183" t="s">
        <v>330</v>
      </c>
      <c r="B2183" t="s">
        <v>3</v>
      </c>
      <c r="C2183" s="1" t="str">
        <f>HYPERLINK("http://продеталь.рф/search.html?article=205950A16B","205950A16B")</f>
        <v>205950A16B</v>
      </c>
      <c r="D2183" t="s">
        <v>4</v>
      </c>
    </row>
    <row r="2184" spans="1:4" outlineLevel="1" x14ac:dyDescent="0.25">
      <c r="A2184" t="s">
        <v>330</v>
      </c>
      <c r="B2184" t="s">
        <v>3</v>
      </c>
      <c r="C2184" s="1" t="str">
        <f>HYPERLINK("http://продеталь.рф/search.html?article=205949A16B","205949A16B")</f>
        <v>205949A16B</v>
      </c>
      <c r="D2184" t="s">
        <v>4</v>
      </c>
    </row>
    <row r="2185" spans="1:4" outlineLevel="1" x14ac:dyDescent="0.25">
      <c r="A2185" t="s">
        <v>330</v>
      </c>
      <c r="B2185" t="s">
        <v>5</v>
      </c>
      <c r="C2185" s="1" t="str">
        <f>HYPERLINK("http://продеталь.рф/search.html?article=HD080016L0L00","HD080016L0L00")</f>
        <v>HD080016L0L00</v>
      </c>
      <c r="D2185" t="s">
        <v>9</v>
      </c>
    </row>
    <row r="2186" spans="1:4" outlineLevel="1" x14ac:dyDescent="0.25">
      <c r="A2186" t="s">
        <v>330</v>
      </c>
      <c r="B2186" t="s">
        <v>5</v>
      </c>
      <c r="C2186" s="1" t="str">
        <f>HYPERLINK("http://продеталь.рф/search.html?article=HD080016L0R00","HD080016L0R00")</f>
        <v>HD080016L0R00</v>
      </c>
      <c r="D2186" t="s">
        <v>9</v>
      </c>
    </row>
    <row r="2187" spans="1:4" outlineLevel="1" x14ac:dyDescent="0.25">
      <c r="A2187" t="s">
        <v>330</v>
      </c>
      <c r="B2187" t="s">
        <v>5</v>
      </c>
      <c r="C2187" s="1" t="str">
        <f>HYPERLINK("http://продеталь.рф/search.html?article=HD08016LA1","HD08016LA1")</f>
        <v>HD08016LA1</v>
      </c>
      <c r="D2187" t="s">
        <v>9</v>
      </c>
    </row>
    <row r="2188" spans="1:4" outlineLevel="1" x14ac:dyDescent="0.25">
      <c r="A2188" t="s">
        <v>330</v>
      </c>
      <c r="B2188" t="s">
        <v>28</v>
      </c>
      <c r="C2188" s="1" t="str">
        <f>HYPERLINK("http://продеталь.рф/search.html?article=RA63341B","RA63341B")</f>
        <v>RA63341B</v>
      </c>
      <c r="D2188" t="s">
        <v>6</v>
      </c>
    </row>
    <row r="2189" spans="1:4" outlineLevel="1" x14ac:dyDescent="0.25">
      <c r="A2189" t="s">
        <v>330</v>
      </c>
      <c r="B2189" t="s">
        <v>8</v>
      </c>
      <c r="C2189" s="1" t="str">
        <f>HYPERLINK("http://продеталь.рф/search.html?article=606HD2007","606HD2007")</f>
        <v>606HD2007</v>
      </c>
      <c r="D2189" t="s">
        <v>4</v>
      </c>
    </row>
    <row r="2190" spans="1:4" outlineLevel="1" x14ac:dyDescent="0.25">
      <c r="A2190" t="s">
        <v>330</v>
      </c>
      <c r="B2190" t="s">
        <v>12</v>
      </c>
      <c r="C2190" s="1" t="str">
        <f>HYPERLINK("http://продеталь.рф/search.html?article=HD07084GA","HD07084GA")</f>
        <v>HD07084GA</v>
      </c>
      <c r="D2190" t="s">
        <v>2</v>
      </c>
    </row>
    <row r="2191" spans="1:4" outlineLevel="1" x14ac:dyDescent="0.25">
      <c r="A2191" t="s">
        <v>330</v>
      </c>
      <c r="B2191" t="s">
        <v>13</v>
      </c>
      <c r="C2191" s="1" t="str">
        <f>HYPERLINK("http://продеталь.рф/search.html?article=HD08000R0","HD08000R0")</f>
        <v>HD08000R0</v>
      </c>
      <c r="D2191" t="s">
        <v>9</v>
      </c>
    </row>
    <row r="2192" spans="1:4" x14ac:dyDescent="0.25">
      <c r="A2192" t="s">
        <v>332</v>
      </c>
      <c r="B2192" s="2" t="s">
        <v>332</v>
      </c>
      <c r="C2192" s="2"/>
      <c r="D2192" s="2"/>
    </row>
    <row r="2193" spans="1:4" outlineLevel="1" x14ac:dyDescent="0.25">
      <c r="A2193" t="s">
        <v>332</v>
      </c>
      <c r="B2193" t="s">
        <v>11</v>
      </c>
      <c r="C2193" s="1" t="str">
        <f>HYPERLINK("http://продеталь.рф/search.html?article=HD08000E0","HD08000E0")</f>
        <v>HD08000E0</v>
      </c>
      <c r="D2193" t="s">
        <v>9</v>
      </c>
    </row>
    <row r="2194" spans="1:4" outlineLevel="1" x14ac:dyDescent="0.25">
      <c r="A2194" t="s">
        <v>332</v>
      </c>
      <c r="B2194" t="s">
        <v>1</v>
      </c>
      <c r="C2194" s="1" t="str">
        <f>HYPERLINK("http://продеталь.рф/search.html?article=HD20058A","HD20058A")</f>
        <v>HD20058A</v>
      </c>
      <c r="D2194" t="s">
        <v>2</v>
      </c>
    </row>
    <row r="2195" spans="1:4" outlineLevel="1" x14ac:dyDescent="0.25">
      <c r="A2195" t="s">
        <v>332</v>
      </c>
      <c r="B2195" t="s">
        <v>24</v>
      </c>
      <c r="C2195" s="1" t="str">
        <f>HYPERLINK("http://продеталь.рф/search.html?article=HD08016C1","HD08016C1")</f>
        <v>HD08016C1</v>
      </c>
      <c r="D2195" t="s">
        <v>9</v>
      </c>
    </row>
    <row r="2196" spans="1:4" outlineLevel="1" x14ac:dyDescent="0.25">
      <c r="A2196" t="s">
        <v>332</v>
      </c>
      <c r="B2196" t="s">
        <v>266</v>
      </c>
      <c r="C2196" s="1" t="str">
        <f>HYPERLINK("http://продеталь.рф/search.html?article=HD08093S0","HD08093S0")</f>
        <v>HD08093S0</v>
      </c>
      <c r="D2196" t="s">
        <v>9</v>
      </c>
    </row>
    <row r="2197" spans="1:4" outlineLevel="1" x14ac:dyDescent="0.25">
      <c r="A2197" t="s">
        <v>332</v>
      </c>
      <c r="B2197" t="s">
        <v>3</v>
      </c>
      <c r="C2197" s="1" t="str">
        <f>HYPERLINK("http://продеталь.рф/search.html?article=200339052","200339052")</f>
        <v>200339052</v>
      </c>
      <c r="D2197" t="s">
        <v>4</v>
      </c>
    </row>
    <row r="2198" spans="1:4" outlineLevel="1" x14ac:dyDescent="0.25">
      <c r="A2198" t="s">
        <v>332</v>
      </c>
      <c r="B2198" t="s">
        <v>13</v>
      </c>
      <c r="C2198" s="1" t="str">
        <f>HYPERLINK("http://продеталь.рф/search.html?article=HD08000RE0","HD08000RE0")</f>
        <v>HD08000RE0</v>
      </c>
      <c r="D2198" t="s">
        <v>9</v>
      </c>
    </row>
    <row r="2199" spans="1:4" x14ac:dyDescent="0.25">
      <c r="A2199" t="s">
        <v>333</v>
      </c>
      <c r="B2199" s="2" t="s">
        <v>333</v>
      </c>
      <c r="C2199" s="2"/>
      <c r="D2199" s="2"/>
    </row>
    <row r="2200" spans="1:4" outlineLevel="1" x14ac:dyDescent="0.25">
      <c r="A2200" t="s">
        <v>333</v>
      </c>
      <c r="B2200" t="s">
        <v>11</v>
      </c>
      <c r="C2200" s="1" t="str">
        <f>HYPERLINK("http://продеталь.рф/search.html?article=HD09000000100","HD09000000100")</f>
        <v>HD09000000100</v>
      </c>
      <c r="D2200" t="s">
        <v>9</v>
      </c>
    </row>
    <row r="2201" spans="1:4" outlineLevel="1" x14ac:dyDescent="0.25">
      <c r="A2201" t="s">
        <v>333</v>
      </c>
      <c r="B2201" t="s">
        <v>11</v>
      </c>
      <c r="C2201" s="1" t="str">
        <f>HYPERLINK("http://продеталь.рф/search.html?article=HD09000C0","HD09000C0")</f>
        <v>HD09000C0</v>
      </c>
      <c r="D2201" t="s">
        <v>9</v>
      </c>
    </row>
    <row r="2202" spans="1:4" outlineLevel="1" x14ac:dyDescent="0.25">
      <c r="A2202" t="s">
        <v>333</v>
      </c>
      <c r="B2202" t="s">
        <v>11</v>
      </c>
      <c r="C2202" s="1" t="str">
        <f>HYPERLINK("http://продеталь.рф/search.html?article=HD04155BA","HD04155BA")</f>
        <v>HD04155BA</v>
      </c>
      <c r="D2202" t="s">
        <v>2</v>
      </c>
    </row>
    <row r="2203" spans="1:4" outlineLevel="1" x14ac:dyDescent="0.25">
      <c r="A2203" t="s">
        <v>333</v>
      </c>
      <c r="B2203" t="s">
        <v>11</v>
      </c>
      <c r="C2203" s="1" t="str">
        <f>HYPERLINK("http://продеталь.рф/search.html?article=HD04153BA","HD04153BA")</f>
        <v>HD04153BA</v>
      </c>
      <c r="D2203" t="s">
        <v>2</v>
      </c>
    </row>
    <row r="2204" spans="1:4" outlineLevel="1" x14ac:dyDescent="0.25">
      <c r="A2204" t="s">
        <v>333</v>
      </c>
      <c r="B2204" t="s">
        <v>11</v>
      </c>
      <c r="C2204" s="1" t="str">
        <f>HYPERLINK("http://продеталь.рф/search.html?article=HD09000005000","HD09000005000")</f>
        <v>HD09000005000</v>
      </c>
      <c r="D2204" t="s">
        <v>9</v>
      </c>
    </row>
    <row r="2205" spans="1:4" outlineLevel="1" x14ac:dyDescent="0.25">
      <c r="A2205" t="s">
        <v>333</v>
      </c>
      <c r="B2205" t="s">
        <v>11</v>
      </c>
      <c r="C2205" s="1" t="str">
        <f>HYPERLINK("http://продеталь.рф/search.html?article=HD09000006000","HD09000006000")</f>
        <v>HD09000006000</v>
      </c>
      <c r="D2205" t="s">
        <v>9</v>
      </c>
    </row>
    <row r="2206" spans="1:4" outlineLevel="1" x14ac:dyDescent="0.25">
      <c r="A2206" t="s">
        <v>333</v>
      </c>
      <c r="B2206" t="s">
        <v>11</v>
      </c>
      <c r="C2206" s="1" t="str">
        <f>HYPERLINK("http://продеталь.рф/search.html?article=3035X","3035X")</f>
        <v>3035X</v>
      </c>
      <c r="D2206" t="s">
        <v>36</v>
      </c>
    </row>
    <row r="2207" spans="1:4" outlineLevel="1" x14ac:dyDescent="0.25">
      <c r="A2207" t="s">
        <v>333</v>
      </c>
      <c r="B2207" t="s">
        <v>15</v>
      </c>
      <c r="C2207" s="1" t="str">
        <f>HYPERLINK("http://продеталь.рф/search.html?article=388HDD127E","388HDD127E")</f>
        <v>388HDD127E</v>
      </c>
      <c r="D2207" t="s">
        <v>4</v>
      </c>
    </row>
    <row r="2208" spans="1:4" outlineLevel="1" x14ac:dyDescent="0.25">
      <c r="A2208" t="s">
        <v>333</v>
      </c>
      <c r="B2208" t="s">
        <v>15</v>
      </c>
      <c r="C2208" s="1" t="str">
        <f>HYPERLINK("http://продеталь.рф/search.html?article=VHDM1016ER","VHDM1016ER")</f>
        <v>VHDM1016ER</v>
      </c>
      <c r="D2208" t="s">
        <v>6</v>
      </c>
    </row>
    <row r="2209" spans="1:4" outlineLevel="1" x14ac:dyDescent="0.25">
      <c r="A2209" t="s">
        <v>333</v>
      </c>
      <c r="B2209" t="s">
        <v>159</v>
      </c>
      <c r="C2209" s="1" t="str">
        <f>HYPERLINK("http://продеталь.рф/search.html?article=HD093930","HD093930")</f>
        <v>HD093930</v>
      </c>
      <c r="D2209" t="s">
        <v>9</v>
      </c>
    </row>
    <row r="2210" spans="1:4" outlineLevel="1" x14ac:dyDescent="0.25">
      <c r="A2210" t="s">
        <v>333</v>
      </c>
      <c r="B2210" t="s">
        <v>23</v>
      </c>
      <c r="C2210" s="1" t="str">
        <f>HYPERLINK("http://продеталь.рф/search.html?article=116166001A","116166001A")</f>
        <v>116166001A</v>
      </c>
      <c r="D2210" t="s">
        <v>4</v>
      </c>
    </row>
    <row r="2211" spans="1:4" outlineLevel="1" x14ac:dyDescent="0.25">
      <c r="A2211" t="s">
        <v>333</v>
      </c>
      <c r="B2211" t="s">
        <v>23</v>
      </c>
      <c r="C2211" s="1" t="str">
        <f>HYPERLINK("http://продеталь.рф/search.html?article=116165001A","116165001A")</f>
        <v>116165001A</v>
      </c>
      <c r="D2211" t="s">
        <v>4</v>
      </c>
    </row>
    <row r="2212" spans="1:4" outlineLevel="1" x14ac:dyDescent="0.25">
      <c r="A2212" t="s">
        <v>333</v>
      </c>
      <c r="B2212" t="s">
        <v>23</v>
      </c>
      <c r="C2212" s="1" t="str">
        <f>HYPERLINK("http://продеталь.рф/search.html?article=17524600","17524600")</f>
        <v>17524600</v>
      </c>
      <c r="D2212" t="s">
        <v>4</v>
      </c>
    </row>
    <row r="2213" spans="1:4" outlineLevel="1" x14ac:dyDescent="0.25">
      <c r="A2213" t="s">
        <v>333</v>
      </c>
      <c r="B2213" t="s">
        <v>1</v>
      </c>
      <c r="C2213" s="1" t="str">
        <f>HYPERLINK("http://продеталь.рф/search.html?article=HD09015C0","HD09015C0")</f>
        <v>HD09015C0</v>
      </c>
      <c r="D2213" t="s">
        <v>9</v>
      </c>
    </row>
    <row r="2214" spans="1:4" outlineLevel="1" x14ac:dyDescent="0.25">
      <c r="A2214" t="s">
        <v>333</v>
      </c>
      <c r="B2214" t="s">
        <v>1</v>
      </c>
      <c r="C2214" s="1" t="str">
        <f>HYPERLINK("http://продеталь.рф/search.html?article=HD20067A","HD20067A")</f>
        <v>HD20067A</v>
      </c>
      <c r="D2214" t="s">
        <v>2</v>
      </c>
    </row>
    <row r="2215" spans="1:4" outlineLevel="1" x14ac:dyDescent="0.25">
      <c r="A2215" t="s">
        <v>333</v>
      </c>
      <c r="B2215" t="s">
        <v>1</v>
      </c>
      <c r="C2215" s="1" t="str">
        <f>HYPERLINK("http://продеталь.рф/search.html?article=301HD0056","301HD0056")</f>
        <v>301HD0056</v>
      </c>
      <c r="D2215" t="s">
        <v>4</v>
      </c>
    </row>
    <row r="2216" spans="1:4" outlineLevel="1" x14ac:dyDescent="0.25">
      <c r="A2216" t="s">
        <v>333</v>
      </c>
      <c r="B2216" t="s">
        <v>84</v>
      </c>
      <c r="C2216" s="1" t="str">
        <f>HYPERLINK("http://продеталь.рф/search.html?article=HD09000UB2","HD09000UB2")</f>
        <v>HD09000UB2</v>
      </c>
      <c r="D2216" t="s">
        <v>9</v>
      </c>
    </row>
    <row r="2217" spans="1:4" outlineLevel="1" x14ac:dyDescent="0.25">
      <c r="A2217" t="s">
        <v>333</v>
      </c>
      <c r="B2217" t="s">
        <v>24</v>
      </c>
      <c r="C2217" s="1" t="str">
        <f>HYPERLINK("http://продеталь.рф/search.html?article=PHD10101BL","PHD10101BL")</f>
        <v>PHD10101BL</v>
      </c>
      <c r="D2217" t="s">
        <v>6</v>
      </c>
    </row>
    <row r="2218" spans="1:4" outlineLevel="1" x14ac:dyDescent="0.25">
      <c r="A2218" t="s">
        <v>333</v>
      </c>
      <c r="B2218" t="s">
        <v>24</v>
      </c>
      <c r="C2218" s="1" t="str">
        <f>HYPERLINK("http://продеталь.рф/search.html?article=PHD10107AR","PHD10107AR")</f>
        <v>PHD10107AR</v>
      </c>
      <c r="D2218" t="s">
        <v>6</v>
      </c>
    </row>
    <row r="2219" spans="1:4" outlineLevel="1" x14ac:dyDescent="0.25">
      <c r="A2219" t="s">
        <v>333</v>
      </c>
      <c r="B2219" t="s">
        <v>24</v>
      </c>
      <c r="C2219" s="1" t="str">
        <f>HYPERLINK("http://продеталь.рф/search.html?article=HD10108AL","HD10108AL")</f>
        <v>HD10108AL</v>
      </c>
      <c r="D2219" t="s">
        <v>2</v>
      </c>
    </row>
    <row r="2220" spans="1:4" outlineLevel="1" x14ac:dyDescent="0.25">
      <c r="A2220" t="s">
        <v>333</v>
      </c>
      <c r="B2220" t="s">
        <v>24</v>
      </c>
      <c r="C2220" s="1" t="str">
        <f>HYPERLINK("http://продеталь.рф/search.html?article=HD10108AR","HD10108AR")</f>
        <v>HD10108AR</v>
      </c>
      <c r="D2220" t="s">
        <v>2</v>
      </c>
    </row>
    <row r="2221" spans="1:4" outlineLevel="1" x14ac:dyDescent="0.25">
      <c r="A2221" t="s">
        <v>333</v>
      </c>
      <c r="B2221" t="s">
        <v>24</v>
      </c>
      <c r="C2221" s="1" t="str">
        <f>HYPERLINK("http://продеталь.рф/search.html?article=GD99664L","GD99664L")</f>
        <v>GD99664L</v>
      </c>
      <c r="D2221" t="s">
        <v>36</v>
      </c>
    </row>
    <row r="2222" spans="1:4" outlineLevel="1" x14ac:dyDescent="0.25">
      <c r="A2222" t="s">
        <v>333</v>
      </c>
      <c r="B2222" t="s">
        <v>24</v>
      </c>
      <c r="C2222" s="1" t="str">
        <f>HYPERLINK("http://продеталь.рф/search.html?article=GD99664R","GD99664R")</f>
        <v>GD99664R</v>
      </c>
      <c r="D2222" t="s">
        <v>36</v>
      </c>
    </row>
    <row r="2223" spans="1:4" outlineLevel="1" x14ac:dyDescent="0.25">
      <c r="A2223" t="s">
        <v>333</v>
      </c>
      <c r="B2223" t="s">
        <v>27</v>
      </c>
      <c r="C2223" s="1" t="str">
        <f>HYPERLINK("http://продеталь.рф/search.html?article=HD09009C0","HD09009C0")</f>
        <v>HD09009C0</v>
      </c>
      <c r="D2223" t="s">
        <v>9</v>
      </c>
    </row>
    <row r="2224" spans="1:4" outlineLevel="1" x14ac:dyDescent="0.25">
      <c r="A2224" t="s">
        <v>333</v>
      </c>
      <c r="B2224" t="s">
        <v>3</v>
      </c>
      <c r="C2224" s="1" t="str">
        <f>HYPERLINK("http://продеталь.рф/search.html?article=206734011A","206734011A")</f>
        <v>206734011A</v>
      </c>
      <c r="D2224" t="s">
        <v>4</v>
      </c>
    </row>
    <row r="2225" spans="1:4" outlineLevel="1" x14ac:dyDescent="0.25">
      <c r="A2225" t="s">
        <v>333</v>
      </c>
      <c r="B2225" t="s">
        <v>3</v>
      </c>
      <c r="C2225" s="1" t="str">
        <f>HYPERLINK("http://продеталь.рф/search.html?article=200924056","200924056")</f>
        <v>200924056</v>
      </c>
      <c r="D2225" t="s">
        <v>4</v>
      </c>
    </row>
    <row r="2226" spans="1:4" outlineLevel="1" x14ac:dyDescent="0.25">
      <c r="A2226" t="s">
        <v>333</v>
      </c>
      <c r="B2226" t="s">
        <v>3</v>
      </c>
      <c r="C2226" s="1" t="str">
        <f>HYPERLINK("http://продеталь.рф/search.html?article=20A923C56B","20A923C56B")</f>
        <v>20A923C56B</v>
      </c>
      <c r="D2226" t="s">
        <v>4</v>
      </c>
    </row>
    <row r="2227" spans="1:4" outlineLevel="1" x14ac:dyDescent="0.25">
      <c r="A2227" t="s">
        <v>333</v>
      </c>
      <c r="B2227" t="s">
        <v>5</v>
      </c>
      <c r="C2227" s="1" t="str">
        <f>HYPERLINK("http://продеталь.рф/search.html?article=HD09016LA1","HD09016LA1")</f>
        <v>HD09016LA1</v>
      </c>
      <c r="D2227" t="s">
        <v>9</v>
      </c>
    </row>
    <row r="2228" spans="1:4" outlineLevel="1" x14ac:dyDescent="0.25">
      <c r="A2228" t="s">
        <v>333</v>
      </c>
      <c r="B2228" t="s">
        <v>5</v>
      </c>
      <c r="C2228" s="1" t="str">
        <f>HYPERLINK("http://продеталь.рф/search.html?article=HD09016L2","HD09016L2")</f>
        <v>HD09016L2</v>
      </c>
      <c r="D2228" t="s">
        <v>9</v>
      </c>
    </row>
    <row r="2229" spans="1:4" outlineLevel="1" x14ac:dyDescent="0.25">
      <c r="A2229" t="s">
        <v>333</v>
      </c>
      <c r="B2229" t="s">
        <v>5</v>
      </c>
      <c r="C2229" s="1" t="str">
        <f>HYPERLINK("http://продеталь.рф/search.html?article=HD09016L1","HD09016L1")</f>
        <v>HD09016L1</v>
      </c>
      <c r="D2229" t="s">
        <v>9</v>
      </c>
    </row>
    <row r="2230" spans="1:4" outlineLevel="1" x14ac:dyDescent="0.25">
      <c r="A2230" t="s">
        <v>333</v>
      </c>
      <c r="B2230" t="s">
        <v>5</v>
      </c>
      <c r="C2230" s="1" t="str">
        <f>HYPERLINK("http://продеталь.рф/search.html?article=HD09016LA2","HD09016LA2")</f>
        <v>HD09016LA2</v>
      </c>
      <c r="D2230" t="s">
        <v>9</v>
      </c>
    </row>
    <row r="2231" spans="1:4" outlineLevel="1" x14ac:dyDescent="0.25">
      <c r="A2231" t="s">
        <v>333</v>
      </c>
      <c r="B2231" t="s">
        <v>5</v>
      </c>
      <c r="C2231" s="1" t="str">
        <f>HYPERLINK("http://продеталь.рф/search.html?article=HD11107AL","HD11107AL")</f>
        <v>HD11107AL</v>
      </c>
      <c r="D2231" t="s">
        <v>2</v>
      </c>
    </row>
    <row r="2232" spans="1:4" outlineLevel="1" x14ac:dyDescent="0.25">
      <c r="A2232" t="s">
        <v>333</v>
      </c>
      <c r="B2232" t="s">
        <v>5</v>
      </c>
      <c r="C2232" s="1" t="str">
        <f>HYPERLINK("http://продеталь.рф/search.html?article=HD11107AR","HD11107AR")</f>
        <v>HD11107AR</v>
      </c>
      <c r="D2232" t="s">
        <v>2</v>
      </c>
    </row>
    <row r="2233" spans="1:4" outlineLevel="1" x14ac:dyDescent="0.25">
      <c r="A2233" t="s">
        <v>333</v>
      </c>
      <c r="B2233" t="s">
        <v>19</v>
      </c>
      <c r="C2233" s="1" t="str">
        <f>HYPERLINK("http://продеталь.рф/search.html?article=ZHD2017K","ZHD2017K")</f>
        <v>ZHD2017K</v>
      </c>
      <c r="D2233" t="s">
        <v>6</v>
      </c>
    </row>
    <row r="2234" spans="1:4" outlineLevel="1" x14ac:dyDescent="0.25">
      <c r="A2234" t="s">
        <v>333</v>
      </c>
      <c r="B2234" t="s">
        <v>19</v>
      </c>
      <c r="C2234" s="1" t="str">
        <f>HYPERLINK("http://продеталь.рф/search.html?article=190564012","190564012")</f>
        <v>190564012</v>
      </c>
      <c r="D2234" t="s">
        <v>4</v>
      </c>
    </row>
    <row r="2235" spans="1:4" outlineLevel="1" x14ac:dyDescent="0.25">
      <c r="A2235" t="s">
        <v>333</v>
      </c>
      <c r="B2235" t="s">
        <v>19</v>
      </c>
      <c r="C2235" s="1" t="str">
        <f>HYPERLINK("http://продеталь.рф/search.html?article=190563012","190563012")</f>
        <v>190563012</v>
      </c>
      <c r="D2235" t="s">
        <v>4</v>
      </c>
    </row>
    <row r="2236" spans="1:4" outlineLevel="1" x14ac:dyDescent="0.25">
      <c r="A2236" t="s">
        <v>333</v>
      </c>
      <c r="B2236" t="s">
        <v>12</v>
      </c>
      <c r="C2236" s="1" t="str">
        <f>HYPERLINK("http://продеталь.рф/search.html?article=HD07134GA","HD07134GA")</f>
        <v>HD07134GA</v>
      </c>
      <c r="D2236" t="s">
        <v>2</v>
      </c>
    </row>
    <row r="2237" spans="1:4" outlineLevel="1" x14ac:dyDescent="0.25">
      <c r="A2237" t="s">
        <v>333</v>
      </c>
      <c r="B2237" t="s">
        <v>334</v>
      </c>
      <c r="C2237" s="1" t="str">
        <f>HYPERLINK("http://продеталь.рф/search.html?article=SHD2036L","SHD2036L")</f>
        <v>SHD2036L</v>
      </c>
      <c r="D2237" t="s">
        <v>4</v>
      </c>
    </row>
    <row r="2238" spans="1:4" outlineLevel="1" x14ac:dyDescent="0.25">
      <c r="A2238" t="s">
        <v>333</v>
      </c>
      <c r="B2238" t="s">
        <v>334</v>
      </c>
      <c r="C2238" s="1" t="str">
        <f>HYPERLINK("http://продеталь.рф/search.html?article=SHD2036R","SHD2036R")</f>
        <v>SHD2036R</v>
      </c>
      <c r="D2238" t="s">
        <v>4</v>
      </c>
    </row>
    <row r="2239" spans="1:4" outlineLevel="1" x14ac:dyDescent="0.25">
      <c r="A2239" t="s">
        <v>333</v>
      </c>
      <c r="B2239" t="s">
        <v>334</v>
      </c>
      <c r="C2239" s="1" t="str">
        <f>HYPERLINK("http://продеталь.рф/search.html?article=SHD2037L","SHD2037L")</f>
        <v>SHD2037L</v>
      </c>
      <c r="D2239" t="s">
        <v>4</v>
      </c>
    </row>
    <row r="2240" spans="1:4" outlineLevel="1" x14ac:dyDescent="0.25">
      <c r="A2240" t="s">
        <v>333</v>
      </c>
      <c r="B2240" t="s">
        <v>334</v>
      </c>
      <c r="C2240" s="1" t="str">
        <f>HYPERLINK("http://продеталь.рф/search.html?article=SHD2037R","SHD2037R")</f>
        <v>SHD2037R</v>
      </c>
      <c r="D2240" t="s">
        <v>4</v>
      </c>
    </row>
    <row r="2241" spans="1:4" outlineLevel="1" x14ac:dyDescent="0.25">
      <c r="A2241" t="s">
        <v>333</v>
      </c>
      <c r="B2241" t="s">
        <v>118</v>
      </c>
      <c r="C2241" s="1" t="str">
        <f>HYPERLINK("http://продеталь.рф/search.html?article=SHD2017L","SHD2017L")</f>
        <v>SHD2017L</v>
      </c>
      <c r="D2241" t="s">
        <v>63</v>
      </c>
    </row>
    <row r="2242" spans="1:4" outlineLevel="1" x14ac:dyDescent="0.25">
      <c r="A2242" t="s">
        <v>333</v>
      </c>
      <c r="B2242" t="s">
        <v>118</v>
      </c>
      <c r="C2242" s="1" t="str">
        <f>HYPERLINK("http://продеталь.рф/search.html?article=SHD2035L","SHD2035L")</f>
        <v>SHD2035L</v>
      </c>
      <c r="D2242" t="s">
        <v>63</v>
      </c>
    </row>
    <row r="2243" spans="1:4" outlineLevel="1" x14ac:dyDescent="0.25">
      <c r="A2243" t="s">
        <v>333</v>
      </c>
      <c r="B2243" t="s">
        <v>118</v>
      </c>
      <c r="C2243" s="1" t="str">
        <f>HYPERLINK("http://продеталь.рф/search.html?article=SHD2035R","SHD2035R")</f>
        <v>SHD2035R</v>
      </c>
      <c r="D2243" t="s">
        <v>63</v>
      </c>
    </row>
    <row r="2244" spans="1:4" outlineLevel="1" x14ac:dyDescent="0.25">
      <c r="A2244" t="s">
        <v>333</v>
      </c>
      <c r="B2244" t="s">
        <v>118</v>
      </c>
      <c r="C2244" s="1" t="str">
        <f>HYPERLINK("http://продеталь.рф/search.html?article=SHD2017R","SHD2017R")</f>
        <v>SHD2017R</v>
      </c>
      <c r="D2244" t="s">
        <v>63</v>
      </c>
    </row>
    <row r="2245" spans="1:4" outlineLevel="1" x14ac:dyDescent="0.25">
      <c r="A2245" t="s">
        <v>333</v>
      </c>
      <c r="B2245" t="s">
        <v>13</v>
      </c>
      <c r="C2245" s="1" t="str">
        <f>HYPERLINK("http://продеталь.рф/search.html?article=PHD44169A","PHD44169A")</f>
        <v>PHD44169A</v>
      </c>
      <c r="D2245" t="s">
        <v>6</v>
      </c>
    </row>
    <row r="2246" spans="1:4" outlineLevel="1" x14ac:dyDescent="0.25">
      <c r="A2246" t="s">
        <v>333</v>
      </c>
      <c r="B2246" t="s">
        <v>13</v>
      </c>
      <c r="C2246" s="1" t="str">
        <f>HYPERLINK("http://продеталь.рф/search.html?article=PHD44159A","PHD44159A")</f>
        <v>PHD44159A</v>
      </c>
      <c r="D2246" t="s">
        <v>6</v>
      </c>
    </row>
    <row r="2247" spans="1:4" x14ac:dyDescent="0.25">
      <c r="A2247" t="s">
        <v>335</v>
      </c>
      <c r="B2247" s="2" t="s">
        <v>335</v>
      </c>
      <c r="C2247" s="2"/>
      <c r="D2247" s="2"/>
    </row>
    <row r="2248" spans="1:4" outlineLevel="1" x14ac:dyDescent="0.25">
      <c r="A2248" t="s">
        <v>335</v>
      </c>
      <c r="B2248" t="s">
        <v>19</v>
      </c>
      <c r="C2248" s="1" t="str">
        <f>HYPERLINK("http://продеталь.рф/search.html?article=19A935019B","19A935019B")</f>
        <v>19A935019B</v>
      </c>
      <c r="D2248" t="s">
        <v>4</v>
      </c>
    </row>
    <row r="2249" spans="1:4" x14ac:dyDescent="0.25">
      <c r="A2249" t="s">
        <v>336</v>
      </c>
      <c r="B2249" s="2" t="s">
        <v>336</v>
      </c>
      <c r="C2249" s="2"/>
      <c r="D2249" s="2"/>
    </row>
    <row r="2250" spans="1:4" outlineLevel="1" x14ac:dyDescent="0.25">
      <c r="A2250" t="s">
        <v>336</v>
      </c>
      <c r="B2250" t="s">
        <v>11</v>
      </c>
      <c r="C2250" s="1" t="str">
        <f>HYPERLINK("http://продеталь.рф/search.html?article=HD65000B0","HD65000B0")</f>
        <v>HD65000B0</v>
      </c>
      <c r="D2250" t="s">
        <v>9</v>
      </c>
    </row>
    <row r="2251" spans="1:4" outlineLevel="1" x14ac:dyDescent="0.25">
      <c r="A2251" t="s">
        <v>336</v>
      </c>
      <c r="B2251" t="s">
        <v>11</v>
      </c>
      <c r="C2251" s="1" t="str">
        <f>HYPERLINK("http://продеталь.рф/search.html?article=HD650870","HD650870")</f>
        <v>HD650870</v>
      </c>
      <c r="D2251" t="s">
        <v>9</v>
      </c>
    </row>
    <row r="2252" spans="1:4" outlineLevel="1" x14ac:dyDescent="0.25">
      <c r="A2252" t="s">
        <v>336</v>
      </c>
      <c r="B2252" t="s">
        <v>11</v>
      </c>
      <c r="C2252" s="1" t="str">
        <f>HYPERLINK("http://продеталь.рф/search.html?article=HD04085BA","HD04085BA")</f>
        <v>HD04085BA</v>
      </c>
      <c r="D2252" t="s">
        <v>2</v>
      </c>
    </row>
    <row r="2253" spans="1:4" outlineLevel="1" x14ac:dyDescent="0.25">
      <c r="A2253" t="s">
        <v>336</v>
      </c>
      <c r="B2253" t="s">
        <v>15</v>
      </c>
      <c r="C2253" s="1" t="str">
        <f>HYPERLINK("http://продеталь.рф/search.html?article=3120038","3120038")</f>
        <v>3120038</v>
      </c>
      <c r="D2253" t="s">
        <v>4</v>
      </c>
    </row>
    <row r="2254" spans="1:4" outlineLevel="1" x14ac:dyDescent="0.25">
      <c r="A2254" t="s">
        <v>336</v>
      </c>
      <c r="B2254" t="s">
        <v>15</v>
      </c>
      <c r="C2254" s="1" t="str">
        <f>HYPERLINK("http://продеталь.рф/search.html?article=3120037","3120037")</f>
        <v>3120037</v>
      </c>
      <c r="D2254" t="s">
        <v>4</v>
      </c>
    </row>
    <row r="2255" spans="1:4" outlineLevel="1" x14ac:dyDescent="0.25">
      <c r="A2255" t="s">
        <v>336</v>
      </c>
      <c r="B2255" t="s">
        <v>159</v>
      </c>
      <c r="C2255" s="1" t="str">
        <f>HYPERLINK("http://продеталь.рф/search.html?article=HD653930","HD653930")</f>
        <v>HD653930</v>
      </c>
      <c r="D2255" t="s">
        <v>9</v>
      </c>
    </row>
    <row r="2256" spans="1:4" outlineLevel="1" x14ac:dyDescent="0.25">
      <c r="A2256" t="s">
        <v>336</v>
      </c>
      <c r="B2256" t="s">
        <v>159</v>
      </c>
      <c r="C2256" s="1" t="str">
        <f>HYPERLINK("http://продеталь.рф/search.html?article=682HDC001","682HDC001")</f>
        <v>682HDC001</v>
      </c>
      <c r="D2256" t="s">
        <v>4</v>
      </c>
    </row>
    <row r="2257" spans="1:4" outlineLevel="1" x14ac:dyDescent="0.25">
      <c r="A2257" t="s">
        <v>336</v>
      </c>
      <c r="B2257" t="s">
        <v>79</v>
      </c>
      <c r="C2257" s="1" t="str">
        <f>HYPERLINK("http://продеталь.рф/search.html?article=682HDR001","682HDR001")</f>
        <v>682HDR001</v>
      </c>
      <c r="D2257" t="s">
        <v>4</v>
      </c>
    </row>
    <row r="2258" spans="1:4" outlineLevel="1" x14ac:dyDescent="0.25">
      <c r="A2258" t="s">
        <v>336</v>
      </c>
      <c r="B2258" t="s">
        <v>79</v>
      </c>
      <c r="C2258" s="1" t="str">
        <f>HYPERLINK("http://продеталь.рф/search.html?article=HD65004S0","HD65004S0")</f>
        <v>HD65004S0</v>
      </c>
      <c r="D2258" t="s">
        <v>9</v>
      </c>
    </row>
    <row r="2259" spans="1:4" outlineLevel="1" x14ac:dyDescent="0.25">
      <c r="A2259" t="s">
        <v>336</v>
      </c>
      <c r="B2259" t="s">
        <v>35</v>
      </c>
      <c r="C2259" s="1" t="str">
        <f>HYPERLINK("http://продеталь.рф/search.html?article=HD650250","HD650250")</f>
        <v>HD650250</v>
      </c>
      <c r="D2259" t="s">
        <v>9</v>
      </c>
    </row>
    <row r="2260" spans="1:4" outlineLevel="1" x14ac:dyDescent="0.25">
      <c r="A2260" t="s">
        <v>336</v>
      </c>
      <c r="B2260" t="s">
        <v>24</v>
      </c>
      <c r="C2260" s="1" t="str">
        <f>HYPERLINK("http://продеталь.рф/search.html?article=HD650162","HD650162")</f>
        <v>HD650162</v>
      </c>
      <c r="D2260" t="s">
        <v>9</v>
      </c>
    </row>
    <row r="2261" spans="1:4" outlineLevel="1" x14ac:dyDescent="0.25">
      <c r="A2261" t="s">
        <v>336</v>
      </c>
      <c r="B2261" t="s">
        <v>24</v>
      </c>
      <c r="C2261" s="1" t="str">
        <f>HYPERLINK("http://продеталь.рф/search.html?article=HD650161","HD650161")</f>
        <v>HD650161</v>
      </c>
      <c r="D2261" t="s">
        <v>9</v>
      </c>
    </row>
    <row r="2262" spans="1:4" outlineLevel="1" x14ac:dyDescent="0.25">
      <c r="A2262" t="s">
        <v>336</v>
      </c>
      <c r="B2262" t="s">
        <v>38</v>
      </c>
      <c r="C2262" s="1" t="str">
        <f>HYPERLINK("http://продеталь.рф/search.html?article=HD65016M2","HD65016M2")</f>
        <v>HD65016M2</v>
      </c>
      <c r="D2262" t="s">
        <v>9</v>
      </c>
    </row>
    <row r="2263" spans="1:4" outlineLevel="1" x14ac:dyDescent="0.25">
      <c r="A2263" t="s">
        <v>336</v>
      </c>
      <c r="B2263" t="s">
        <v>147</v>
      </c>
      <c r="C2263" s="1" t="str">
        <f>HYPERLINK("http://продеталь.рф/search.html?article=175184001A","175184001A")</f>
        <v>175184001A</v>
      </c>
      <c r="D2263" t="s">
        <v>4</v>
      </c>
    </row>
    <row r="2264" spans="1:4" outlineLevel="1" x14ac:dyDescent="0.25">
      <c r="A2264" t="s">
        <v>336</v>
      </c>
      <c r="B2264" t="s">
        <v>147</v>
      </c>
      <c r="C2264" s="1" t="str">
        <f>HYPERLINK("http://продеталь.рф/search.html?article=175183001A","175183001A")</f>
        <v>175183001A</v>
      </c>
      <c r="D2264" t="s">
        <v>4</v>
      </c>
    </row>
    <row r="2265" spans="1:4" outlineLevel="1" x14ac:dyDescent="0.25">
      <c r="A2265" t="s">
        <v>336</v>
      </c>
      <c r="B2265" t="s">
        <v>27</v>
      </c>
      <c r="C2265" s="1" t="str">
        <f>HYPERLINK("http://продеталь.рф/search.html?article=HD65009A0","HD65009A0")</f>
        <v>HD65009A0</v>
      </c>
      <c r="D2265" t="s">
        <v>9</v>
      </c>
    </row>
    <row r="2266" spans="1:4" outlineLevel="1" x14ac:dyDescent="0.25">
      <c r="A2266" t="s">
        <v>336</v>
      </c>
      <c r="B2266" t="s">
        <v>3</v>
      </c>
      <c r="C2266" s="1" t="str">
        <f>HYPERLINK("http://продеталь.рф/search.html?article=205232011A","205232011A")</f>
        <v>205232011A</v>
      </c>
      <c r="D2266" t="s">
        <v>4</v>
      </c>
    </row>
    <row r="2267" spans="1:4" outlineLevel="1" x14ac:dyDescent="0.25">
      <c r="A2267" t="s">
        <v>336</v>
      </c>
      <c r="B2267" t="s">
        <v>3</v>
      </c>
      <c r="C2267" s="1" t="str">
        <f>HYPERLINK("http://продеталь.рф/search.html?article=205231011A","205231011A")</f>
        <v>205231011A</v>
      </c>
      <c r="D2267" t="s">
        <v>4</v>
      </c>
    </row>
    <row r="2268" spans="1:4" outlineLevel="1" x14ac:dyDescent="0.25">
      <c r="A2268" t="s">
        <v>336</v>
      </c>
      <c r="B2268" t="s">
        <v>139</v>
      </c>
      <c r="C2268" s="1" t="str">
        <f>HYPERLINK("http://продеталь.рф/search.html?article=HD21025AL","HD21025AL")</f>
        <v>HD21025AL</v>
      </c>
      <c r="D2268" t="s">
        <v>2</v>
      </c>
    </row>
    <row r="2269" spans="1:4" outlineLevel="1" x14ac:dyDescent="0.25">
      <c r="A2269" t="s">
        <v>336</v>
      </c>
      <c r="B2269" t="s">
        <v>139</v>
      </c>
      <c r="C2269" s="1" t="str">
        <f>HYPERLINK("http://продеталь.рф/search.html?article=HD21025AR","HD21025AR")</f>
        <v>HD21025AR</v>
      </c>
      <c r="D2269" t="s">
        <v>2</v>
      </c>
    </row>
    <row r="2270" spans="1:4" outlineLevel="1" x14ac:dyDescent="0.25">
      <c r="A2270" t="s">
        <v>336</v>
      </c>
      <c r="B2270" t="s">
        <v>28</v>
      </c>
      <c r="C2270" s="1" t="str">
        <f>HYPERLINK("http://продеталь.рф/search.html?article=218102","218102")</f>
        <v>218102</v>
      </c>
      <c r="D2270" t="s">
        <v>135</v>
      </c>
    </row>
    <row r="2271" spans="1:4" outlineLevel="1" x14ac:dyDescent="0.25">
      <c r="A2271" t="s">
        <v>336</v>
      </c>
      <c r="B2271" t="s">
        <v>28</v>
      </c>
      <c r="C2271" s="1" t="str">
        <f>HYPERLINK("http://продеталь.рф/search.html?article=RA68101A","RA68101A")</f>
        <v>RA68101A</v>
      </c>
      <c r="D2271" t="s">
        <v>6</v>
      </c>
    </row>
    <row r="2272" spans="1:4" outlineLevel="1" x14ac:dyDescent="0.25">
      <c r="A2272" t="s">
        <v>336</v>
      </c>
      <c r="B2272" t="s">
        <v>8</v>
      </c>
      <c r="C2272" s="1" t="str">
        <f>HYPERLINK("http://продеталь.рф/search.html?article=HD65394A0","HD65394A0")</f>
        <v>HD65394A0</v>
      </c>
      <c r="D2272" t="s">
        <v>9</v>
      </c>
    </row>
    <row r="2273" spans="1:4" outlineLevel="1" x14ac:dyDescent="0.25">
      <c r="A2273" t="s">
        <v>336</v>
      </c>
      <c r="B2273" t="s">
        <v>12</v>
      </c>
      <c r="C2273" s="1" t="str">
        <f>HYPERLINK("http://продеталь.рф/search.html?article=HD07042GA","HD07042GA")</f>
        <v>HD07042GA</v>
      </c>
      <c r="D2273" t="s">
        <v>2</v>
      </c>
    </row>
    <row r="2274" spans="1:4" outlineLevel="1" x14ac:dyDescent="0.25">
      <c r="A2274" t="s">
        <v>336</v>
      </c>
      <c r="B2274" t="s">
        <v>176</v>
      </c>
      <c r="C2274" s="1" t="str">
        <f>HYPERLINK("http://продеталь.рф/search.html?article=SHD2014K","SHD2014K")</f>
        <v>SHD2014K</v>
      </c>
      <c r="D2274" t="s">
        <v>63</v>
      </c>
    </row>
    <row r="2275" spans="1:4" outlineLevel="1" x14ac:dyDescent="0.25">
      <c r="A2275" t="s">
        <v>336</v>
      </c>
      <c r="B2275" t="s">
        <v>13</v>
      </c>
      <c r="C2275" s="1" t="str">
        <f>HYPERLINK("http://продеталь.рф/search.html?article=HD65000RA0","HD65000RA0")</f>
        <v>HD65000RA0</v>
      </c>
      <c r="D2275" t="s">
        <v>9</v>
      </c>
    </row>
    <row r="2276" spans="1:4" x14ac:dyDescent="0.25">
      <c r="A2276" t="s">
        <v>337</v>
      </c>
      <c r="B2276" s="2" t="s">
        <v>337</v>
      </c>
      <c r="C2276" s="2"/>
      <c r="D2276" s="2"/>
    </row>
    <row r="2277" spans="1:4" outlineLevel="1" x14ac:dyDescent="0.25">
      <c r="A2277" t="s">
        <v>337</v>
      </c>
      <c r="B2277" t="s">
        <v>11</v>
      </c>
      <c r="C2277" s="1" t="str">
        <f>HYPERLINK("http://продеталь.рф/search.html?article=HDCRV02160B","HDCRV02160B")</f>
        <v>HDCRV02160B</v>
      </c>
      <c r="D2277" t="s">
        <v>34</v>
      </c>
    </row>
    <row r="2278" spans="1:4" outlineLevel="1" x14ac:dyDescent="0.25">
      <c r="A2278" t="s">
        <v>337</v>
      </c>
      <c r="B2278" t="s">
        <v>11</v>
      </c>
      <c r="C2278" s="1" t="str">
        <f>HYPERLINK("http://продеталь.рф/search.html?article=HD66000E0","HD66000E0")</f>
        <v>HD66000E0</v>
      </c>
      <c r="D2278" t="s">
        <v>9</v>
      </c>
    </row>
    <row r="2279" spans="1:4" outlineLevel="1" x14ac:dyDescent="0.25">
      <c r="A2279" t="s">
        <v>337</v>
      </c>
      <c r="B2279" t="s">
        <v>15</v>
      </c>
      <c r="C2279" s="1" t="str">
        <f>HYPERLINK("http://продеталь.рф/search.html?article=HD66941EB2","HD66941EB2")</f>
        <v>HD66941EB2</v>
      </c>
      <c r="D2279" t="s">
        <v>9</v>
      </c>
    </row>
    <row r="2280" spans="1:4" outlineLevel="1" x14ac:dyDescent="0.25">
      <c r="A2280" t="s">
        <v>337</v>
      </c>
      <c r="B2280" t="s">
        <v>15</v>
      </c>
      <c r="C2280" s="1" t="str">
        <f>HYPERLINK("http://продеталь.рф/search.html?article=HD66941EB1","HD66941EB1")</f>
        <v>HD66941EB1</v>
      </c>
      <c r="D2280" t="s">
        <v>9</v>
      </c>
    </row>
    <row r="2281" spans="1:4" outlineLevel="1" x14ac:dyDescent="0.25">
      <c r="A2281" t="s">
        <v>337</v>
      </c>
      <c r="B2281" t="s">
        <v>23</v>
      </c>
      <c r="C2281" s="1" t="str">
        <f>HYPERLINK("http://продеталь.рф/search.html?article=116046001A","116046001A")</f>
        <v>116046001A</v>
      </c>
      <c r="D2281" t="s">
        <v>4</v>
      </c>
    </row>
    <row r="2282" spans="1:4" outlineLevel="1" x14ac:dyDescent="0.25">
      <c r="A2282" t="s">
        <v>337</v>
      </c>
      <c r="B2282" t="s">
        <v>23</v>
      </c>
      <c r="C2282" s="1" t="str">
        <f>HYPERLINK("http://продеталь.рф/search.html?article=116045001A","116045001A")</f>
        <v>116045001A</v>
      </c>
      <c r="D2282" t="s">
        <v>4</v>
      </c>
    </row>
    <row r="2283" spans="1:4" outlineLevel="1" x14ac:dyDescent="0.25">
      <c r="A2283" t="s">
        <v>337</v>
      </c>
      <c r="B2283" t="s">
        <v>331</v>
      </c>
      <c r="C2283" s="1" t="str">
        <f>HYPERLINK("http://продеталь.рф/search.html?article=HD66015L0","HD66015L0")</f>
        <v>HD66015L0</v>
      </c>
      <c r="D2283" t="s">
        <v>9</v>
      </c>
    </row>
    <row r="2284" spans="1:4" outlineLevel="1" x14ac:dyDescent="0.25">
      <c r="A2284" t="s">
        <v>337</v>
      </c>
      <c r="B2284" t="s">
        <v>35</v>
      </c>
      <c r="C2284" s="1" t="str">
        <f>HYPERLINK("http://продеталь.рф/search.html?article=PHD60023A","PHD60023A")</f>
        <v>PHD60023A</v>
      </c>
      <c r="D2284" t="s">
        <v>6</v>
      </c>
    </row>
    <row r="2285" spans="1:4" outlineLevel="1" x14ac:dyDescent="0.25">
      <c r="A2285" t="s">
        <v>337</v>
      </c>
      <c r="B2285" t="s">
        <v>84</v>
      </c>
      <c r="C2285" s="1" t="str">
        <f>HYPERLINK("http://продеталь.рф/search.html?article=HD66000U2","HD66000U2")</f>
        <v>HD66000U2</v>
      </c>
      <c r="D2285" t="s">
        <v>9</v>
      </c>
    </row>
    <row r="2286" spans="1:4" outlineLevel="1" x14ac:dyDescent="0.25">
      <c r="A2286" t="s">
        <v>337</v>
      </c>
      <c r="B2286" t="s">
        <v>38</v>
      </c>
      <c r="C2286" s="1" t="str">
        <f>HYPERLINK("http://продеталь.рф/search.html?article=HD66016M2","HD66016M2")</f>
        <v>HD66016M2</v>
      </c>
      <c r="D2286" t="s">
        <v>9</v>
      </c>
    </row>
    <row r="2287" spans="1:4" outlineLevel="1" x14ac:dyDescent="0.25">
      <c r="A2287" t="s">
        <v>337</v>
      </c>
      <c r="B2287" t="s">
        <v>147</v>
      </c>
      <c r="C2287" s="1" t="str">
        <f>HYPERLINK("http://продеталь.рф/search.html?article=175185001A","175185001A")</f>
        <v>175185001A</v>
      </c>
      <c r="D2287" t="s">
        <v>4</v>
      </c>
    </row>
    <row r="2288" spans="1:4" outlineLevel="1" x14ac:dyDescent="0.25">
      <c r="A2288" t="s">
        <v>337</v>
      </c>
      <c r="B2288" t="s">
        <v>27</v>
      </c>
      <c r="C2288" s="1" t="str">
        <f>HYPERLINK("http://продеталь.рф/search.html?article=HD66000900000","HD66000900000")</f>
        <v>HD66000900000</v>
      </c>
      <c r="D2288" t="s">
        <v>9</v>
      </c>
    </row>
    <row r="2289" spans="1:4" outlineLevel="1" x14ac:dyDescent="0.25">
      <c r="A2289" t="s">
        <v>337</v>
      </c>
      <c r="B2289" t="s">
        <v>3</v>
      </c>
      <c r="C2289" s="1" t="str">
        <f>HYPERLINK("http://продеталь.рф/search.html?article=206376051","206376051")</f>
        <v>206376051</v>
      </c>
      <c r="D2289" t="s">
        <v>4</v>
      </c>
    </row>
    <row r="2290" spans="1:4" outlineLevel="1" x14ac:dyDescent="0.25">
      <c r="A2290" t="s">
        <v>337</v>
      </c>
      <c r="B2290" t="s">
        <v>3</v>
      </c>
      <c r="C2290" s="1" t="str">
        <f>HYPERLINK("http://продеталь.рф/search.html?article=206375051","206375051")</f>
        <v>206375051</v>
      </c>
      <c r="D2290" t="s">
        <v>4</v>
      </c>
    </row>
    <row r="2291" spans="1:4" outlineLevel="1" x14ac:dyDescent="0.25">
      <c r="A2291" t="s">
        <v>337</v>
      </c>
      <c r="B2291" t="s">
        <v>139</v>
      </c>
      <c r="C2291" s="1" t="str">
        <f>HYPERLINK("http://продеталь.рф/search.html?article=PHD21046AR","PHD21046AR")</f>
        <v>PHD21046AR</v>
      </c>
      <c r="D2291" t="s">
        <v>6</v>
      </c>
    </row>
    <row r="2292" spans="1:4" outlineLevel="1" x14ac:dyDescent="0.25">
      <c r="A2292" t="s">
        <v>337</v>
      </c>
      <c r="B2292" t="s">
        <v>5</v>
      </c>
      <c r="C2292" s="1" t="str">
        <f>HYPERLINK("http://продеталь.рф/search.html?article=HD66016B2","HD66016B2")</f>
        <v>HD66016B2</v>
      </c>
      <c r="D2292" t="s">
        <v>9</v>
      </c>
    </row>
    <row r="2293" spans="1:4" outlineLevel="1" x14ac:dyDescent="0.25">
      <c r="A2293" t="s">
        <v>337</v>
      </c>
      <c r="B2293" t="s">
        <v>5</v>
      </c>
      <c r="C2293" s="1" t="str">
        <f>HYPERLINK("http://продеталь.рф/search.html?article=HD66016B1","HD66016B1")</f>
        <v>HD66016B1</v>
      </c>
      <c r="D2293" t="s">
        <v>9</v>
      </c>
    </row>
    <row r="2294" spans="1:4" outlineLevel="1" x14ac:dyDescent="0.25">
      <c r="A2294" t="s">
        <v>337</v>
      </c>
      <c r="B2294" t="s">
        <v>5</v>
      </c>
      <c r="C2294" s="1" t="str">
        <f>HYPERLINK("http://продеталь.рф/search.html?article=HD66016L2","HD66016L2")</f>
        <v>HD66016L2</v>
      </c>
      <c r="D2294" t="s">
        <v>9</v>
      </c>
    </row>
    <row r="2295" spans="1:4" outlineLevel="1" x14ac:dyDescent="0.25">
      <c r="A2295" t="s">
        <v>337</v>
      </c>
      <c r="B2295" t="s">
        <v>5</v>
      </c>
      <c r="C2295" s="1" t="str">
        <f>HYPERLINK("http://продеталь.рф/search.html?article=HD66016L1","HD66016L1")</f>
        <v>HD66016L1</v>
      </c>
      <c r="D2295" t="s">
        <v>9</v>
      </c>
    </row>
    <row r="2296" spans="1:4" outlineLevel="1" x14ac:dyDescent="0.25">
      <c r="A2296" t="s">
        <v>337</v>
      </c>
      <c r="B2296" t="s">
        <v>8</v>
      </c>
      <c r="C2296" s="1" t="str">
        <f>HYPERLINK("http://продеталь.рф/search.html?article=RC94772","RC94772")</f>
        <v>RC94772</v>
      </c>
      <c r="D2296" t="s">
        <v>6</v>
      </c>
    </row>
    <row r="2297" spans="1:4" outlineLevel="1" x14ac:dyDescent="0.25">
      <c r="A2297" t="s">
        <v>337</v>
      </c>
      <c r="B2297" t="s">
        <v>12</v>
      </c>
      <c r="C2297" s="1" t="str">
        <f>HYPERLINK("http://продеталь.рф/search.html?article=HD07092GA","HD07092GA")</f>
        <v>HD07092GA</v>
      </c>
      <c r="D2297" t="s">
        <v>2</v>
      </c>
    </row>
    <row r="2298" spans="1:4" outlineLevel="1" x14ac:dyDescent="0.25">
      <c r="A2298" t="s">
        <v>337</v>
      </c>
      <c r="B2298" t="s">
        <v>12</v>
      </c>
      <c r="C2298" s="1" t="str">
        <f>HYPERLINK("http://продеталь.рф/search.html?article=HD66093B0","HD66093B0")</f>
        <v>HD66093B0</v>
      </c>
      <c r="D2298" t="s">
        <v>9</v>
      </c>
    </row>
    <row r="2299" spans="1:4" outlineLevel="1" x14ac:dyDescent="0.25">
      <c r="A2299" t="s">
        <v>337</v>
      </c>
      <c r="B2299" t="s">
        <v>13</v>
      </c>
      <c r="C2299" s="1" t="str">
        <f>HYPERLINK("http://продеталь.рф/search.html?article=HD66000R0","HD66000R0")</f>
        <v>HD66000R0</v>
      </c>
      <c r="D2299" t="s">
        <v>9</v>
      </c>
    </row>
    <row r="2300" spans="1:4" x14ac:dyDescent="0.25">
      <c r="A2300" t="s">
        <v>338</v>
      </c>
      <c r="B2300" s="2" t="s">
        <v>338</v>
      </c>
      <c r="C2300" s="2"/>
      <c r="D2300" s="2"/>
    </row>
    <row r="2301" spans="1:4" outlineLevel="1" x14ac:dyDescent="0.25">
      <c r="A2301" t="s">
        <v>338</v>
      </c>
      <c r="B2301" t="s">
        <v>11</v>
      </c>
      <c r="C2301" s="1" t="str">
        <f>HYPERLINK("http://продеталь.рф/search.html?article=HD04167BA","HD04167BA")</f>
        <v>HD04167BA</v>
      </c>
      <c r="D2301" t="s">
        <v>2</v>
      </c>
    </row>
    <row r="2302" spans="1:4" outlineLevel="1" x14ac:dyDescent="0.25">
      <c r="A2302" t="s">
        <v>338</v>
      </c>
      <c r="B2302" t="s">
        <v>11</v>
      </c>
      <c r="C2302" s="1" t="str">
        <f>HYPERLINK("http://продеталь.рф/search.html?article=HD04166BA","HD04166BA")</f>
        <v>HD04166BA</v>
      </c>
      <c r="D2302" t="s">
        <v>2</v>
      </c>
    </row>
    <row r="2303" spans="1:4" outlineLevel="1" x14ac:dyDescent="0.25">
      <c r="A2303" t="s">
        <v>338</v>
      </c>
      <c r="B2303" t="s">
        <v>11</v>
      </c>
      <c r="C2303" s="1" t="str">
        <f>HYPERLINK("http://продеталь.рф/search.html?article=PHD04167BB","PHD04167BB")</f>
        <v>PHD04167BB</v>
      </c>
      <c r="D2303" t="s">
        <v>6</v>
      </c>
    </row>
    <row r="2304" spans="1:4" outlineLevel="1" x14ac:dyDescent="0.25">
      <c r="A2304" t="s">
        <v>338</v>
      </c>
      <c r="B2304" t="s">
        <v>11</v>
      </c>
      <c r="C2304" s="1" t="str">
        <f>HYPERLINK("http://продеталь.рф/search.html?article=HD67000002000","HD67000002000")</f>
        <v>HD67000002000</v>
      </c>
      <c r="D2304" t="s">
        <v>9</v>
      </c>
    </row>
    <row r="2305" spans="1:4" outlineLevel="1" x14ac:dyDescent="0.25">
      <c r="A2305" t="s">
        <v>338</v>
      </c>
      <c r="B2305" t="s">
        <v>11</v>
      </c>
      <c r="C2305" s="1" t="str">
        <f>HYPERLINK("http://продеталь.рф/search.html?article=HD04209BA","HD04209BA")</f>
        <v>HD04209BA</v>
      </c>
      <c r="D2305" t="s">
        <v>2</v>
      </c>
    </row>
    <row r="2306" spans="1:4" outlineLevel="1" x14ac:dyDescent="0.25">
      <c r="A2306" t="s">
        <v>338</v>
      </c>
      <c r="B2306" t="s">
        <v>15</v>
      </c>
      <c r="C2306" s="1" t="str">
        <f>HYPERLINK("http://продеталь.рф/search.html?article=388HDD138TP","388HDD138TP")</f>
        <v>388HDD138TP</v>
      </c>
      <c r="D2306" t="s">
        <v>4</v>
      </c>
    </row>
    <row r="2307" spans="1:4" outlineLevel="1" x14ac:dyDescent="0.25">
      <c r="A2307" t="s">
        <v>338</v>
      </c>
      <c r="B2307" t="s">
        <v>15</v>
      </c>
      <c r="C2307" s="1" t="str">
        <f>HYPERLINK("http://продеталь.рф/search.html?article=388HDD137TP","388HDD137TP")</f>
        <v>388HDD137TP</v>
      </c>
      <c r="D2307" t="s">
        <v>4</v>
      </c>
    </row>
    <row r="2308" spans="1:4" outlineLevel="1" x14ac:dyDescent="0.25">
      <c r="A2308" t="s">
        <v>338</v>
      </c>
      <c r="B2308" t="s">
        <v>1</v>
      </c>
      <c r="C2308" s="1" t="str">
        <f>HYPERLINK("http://продеталь.рф/search.html?article=HD20090A","HD20090A")</f>
        <v>HD20090A</v>
      </c>
      <c r="D2308" t="s">
        <v>2</v>
      </c>
    </row>
    <row r="2309" spans="1:4" outlineLevel="1" x14ac:dyDescent="0.25">
      <c r="A2309" t="s">
        <v>338</v>
      </c>
      <c r="B2309" t="s">
        <v>86</v>
      </c>
      <c r="C2309" s="1" t="str">
        <f>HYPERLINK("http://продеталь.рф/search.html?article=HD670006B0L00","HD670006B0L00")</f>
        <v>HD670006B0L00</v>
      </c>
      <c r="D2309" t="s">
        <v>9</v>
      </c>
    </row>
    <row r="2310" spans="1:4" outlineLevel="1" x14ac:dyDescent="0.25">
      <c r="A2310" t="s">
        <v>338</v>
      </c>
      <c r="B2310" t="s">
        <v>86</v>
      </c>
      <c r="C2310" s="1" t="str">
        <f>HYPERLINK("http://продеталь.рф/search.html?article=HD670006B0R00","HD670006B0R00")</f>
        <v>HD670006B0R00</v>
      </c>
      <c r="D2310" t="s">
        <v>9</v>
      </c>
    </row>
    <row r="2311" spans="1:4" outlineLevel="1" x14ac:dyDescent="0.25">
      <c r="A2311" t="s">
        <v>338</v>
      </c>
      <c r="B2311" t="s">
        <v>86</v>
      </c>
      <c r="C2311" s="1" t="str">
        <f>HYPERLINK("http://продеталь.рф/search.html?article=HD99053AWL","HD99053AWL")</f>
        <v>HD99053AWL</v>
      </c>
      <c r="D2311" t="s">
        <v>2</v>
      </c>
    </row>
    <row r="2312" spans="1:4" outlineLevel="1" x14ac:dyDescent="0.25">
      <c r="A2312" t="s">
        <v>338</v>
      </c>
      <c r="B2312" t="s">
        <v>86</v>
      </c>
      <c r="C2312" s="1" t="str">
        <f>HYPERLINK("http://продеталь.рф/search.html?article=HD99053AWR","HD99053AWR")</f>
        <v>HD99053AWR</v>
      </c>
      <c r="D2312" t="s">
        <v>2</v>
      </c>
    </row>
    <row r="2313" spans="1:4" outlineLevel="1" x14ac:dyDescent="0.25">
      <c r="A2313" t="s">
        <v>338</v>
      </c>
      <c r="B2313" t="s">
        <v>84</v>
      </c>
      <c r="C2313" s="1" t="str">
        <f>HYPERLINK("http://продеталь.рф/search.html?article=HD43207AL","HD43207AL")</f>
        <v>HD43207AL</v>
      </c>
      <c r="D2313" t="s">
        <v>2</v>
      </c>
    </row>
    <row r="2314" spans="1:4" outlineLevel="1" x14ac:dyDescent="0.25">
      <c r="A2314" t="s">
        <v>338</v>
      </c>
      <c r="B2314" t="s">
        <v>84</v>
      </c>
      <c r="C2314" s="1" t="str">
        <f>HYPERLINK("http://продеталь.рф/search.html?article=HD43207AR","HD43207AR")</f>
        <v>HD43207AR</v>
      </c>
      <c r="D2314" t="s">
        <v>2</v>
      </c>
    </row>
    <row r="2315" spans="1:4" outlineLevel="1" x14ac:dyDescent="0.25">
      <c r="A2315" t="s">
        <v>338</v>
      </c>
      <c r="B2315" t="s">
        <v>24</v>
      </c>
      <c r="C2315" s="1" t="str">
        <f>HYPERLINK("http://продеталь.рф/search.html?article=GD99B01R","GD99B01R")</f>
        <v>GD99B01R</v>
      </c>
      <c r="D2315" t="s">
        <v>2</v>
      </c>
    </row>
    <row r="2316" spans="1:4" outlineLevel="1" x14ac:dyDescent="0.25">
      <c r="A2316" t="s">
        <v>338</v>
      </c>
      <c r="B2316" t="s">
        <v>266</v>
      </c>
      <c r="C2316" s="1" t="str">
        <f>HYPERLINK("http://продеталь.рф/search.html?article=HD07132MAC","HD07132MAC")</f>
        <v>HD07132MAC</v>
      </c>
      <c r="D2316" t="s">
        <v>2</v>
      </c>
    </row>
    <row r="2317" spans="1:4" outlineLevel="1" x14ac:dyDescent="0.25">
      <c r="A2317" t="s">
        <v>338</v>
      </c>
      <c r="B2317" t="s">
        <v>92</v>
      </c>
      <c r="C2317" s="1" t="str">
        <f>HYPERLINK("http://продеталь.рф/search.html?article=HD07105MAR","HD07105MAR")</f>
        <v>HD07105MAR</v>
      </c>
      <c r="D2317" t="s">
        <v>2</v>
      </c>
    </row>
    <row r="2318" spans="1:4" outlineLevel="1" x14ac:dyDescent="0.25">
      <c r="A2318" t="s">
        <v>338</v>
      </c>
      <c r="B2318" t="s">
        <v>92</v>
      </c>
      <c r="C2318" s="1" t="str">
        <f>HYPERLINK("http://продеталь.рф/search.html?article=PHD99105MAU","PHD99105MAU")</f>
        <v>PHD99105MAU</v>
      </c>
      <c r="D2318" t="s">
        <v>6</v>
      </c>
    </row>
    <row r="2319" spans="1:4" outlineLevel="1" x14ac:dyDescent="0.25">
      <c r="A2319" t="s">
        <v>338</v>
      </c>
      <c r="B2319" t="s">
        <v>92</v>
      </c>
      <c r="C2319" s="1" t="str">
        <f>HYPERLINK("http://продеталь.рф/search.html?article=PHD99105MAW","PHD99105MAW")</f>
        <v>PHD99105MAW</v>
      </c>
      <c r="D2319" t="s">
        <v>6</v>
      </c>
    </row>
    <row r="2320" spans="1:4" outlineLevel="1" x14ac:dyDescent="0.25">
      <c r="A2320" t="s">
        <v>338</v>
      </c>
      <c r="B2320" t="s">
        <v>26</v>
      </c>
      <c r="C2320" s="1" t="str">
        <f>HYPERLINK("http://продеталь.рф/search.html?article=HD670000M0L00","HD670000M0L00")</f>
        <v>HD670000M0L00</v>
      </c>
      <c r="D2320" t="s">
        <v>9</v>
      </c>
    </row>
    <row r="2321" spans="1:4" outlineLevel="1" x14ac:dyDescent="0.25">
      <c r="A2321" t="s">
        <v>338</v>
      </c>
      <c r="B2321" t="s">
        <v>339</v>
      </c>
      <c r="C2321" s="1" t="str">
        <f>HYPERLINK("http://продеталь.рф/search.html?article=HD01002MAL","HD01002MAL")</f>
        <v>HD01002MAL</v>
      </c>
      <c r="D2321" t="s">
        <v>2</v>
      </c>
    </row>
    <row r="2322" spans="1:4" outlineLevel="1" x14ac:dyDescent="0.25">
      <c r="A2322" t="s">
        <v>338</v>
      </c>
      <c r="B2322" t="s">
        <v>339</v>
      </c>
      <c r="C2322" s="1" t="str">
        <f>HYPERLINK("http://продеталь.рф/search.html?article=HD01002MAR","HD01002MAR")</f>
        <v>HD01002MAR</v>
      </c>
      <c r="D2322" t="s">
        <v>2</v>
      </c>
    </row>
    <row r="2323" spans="1:4" outlineLevel="1" x14ac:dyDescent="0.25">
      <c r="A2323" t="s">
        <v>338</v>
      </c>
      <c r="B2323" t="s">
        <v>147</v>
      </c>
      <c r="C2323" s="1" t="str">
        <f>HYPERLINK("http://продеталь.рф/search.html?article=175258001","175258001")</f>
        <v>175258001</v>
      </c>
      <c r="D2323" t="s">
        <v>4</v>
      </c>
    </row>
    <row r="2324" spans="1:4" outlineLevel="1" x14ac:dyDescent="0.25">
      <c r="A2324" t="s">
        <v>338</v>
      </c>
      <c r="B2324" t="s">
        <v>27</v>
      </c>
      <c r="C2324" s="1" t="str">
        <f>HYPERLINK("http://продеталь.рф/search.html?article=PHD30064A","PHD30064A")</f>
        <v>PHD30064A</v>
      </c>
      <c r="D2324" t="s">
        <v>6</v>
      </c>
    </row>
    <row r="2325" spans="1:4" outlineLevel="1" x14ac:dyDescent="0.25">
      <c r="A2325" t="s">
        <v>338</v>
      </c>
      <c r="B2325" t="s">
        <v>3</v>
      </c>
      <c r="C2325" s="1" t="str">
        <f>HYPERLINK("http://продеталь.рф/search.html?article=206815011A","206815011A")</f>
        <v>206815011A</v>
      </c>
      <c r="D2325" t="s">
        <v>4</v>
      </c>
    </row>
    <row r="2326" spans="1:4" outlineLevel="1" x14ac:dyDescent="0.25">
      <c r="A2326" t="s">
        <v>338</v>
      </c>
      <c r="B2326" t="s">
        <v>3</v>
      </c>
      <c r="C2326" s="1" t="str">
        <f>HYPERLINK("http://продеталь.рф/search.html?article=206816011A","206816011A")</f>
        <v>206816011A</v>
      </c>
      <c r="D2326" t="s">
        <v>4</v>
      </c>
    </row>
    <row r="2327" spans="1:4" outlineLevel="1" x14ac:dyDescent="0.25">
      <c r="A2327" t="s">
        <v>338</v>
      </c>
      <c r="B2327" t="s">
        <v>3</v>
      </c>
      <c r="C2327" s="1" t="str">
        <f>HYPERLINK("http://продеталь.рф/search.html?article=20B451A62B","20B451A62B")</f>
        <v>20B451A62B</v>
      </c>
      <c r="D2327" t="s">
        <v>4</v>
      </c>
    </row>
    <row r="2328" spans="1:4" outlineLevel="1" x14ac:dyDescent="0.25">
      <c r="A2328" t="s">
        <v>338</v>
      </c>
      <c r="B2328" t="s">
        <v>139</v>
      </c>
      <c r="C2328" s="1" t="str">
        <f>HYPERLINK("http://продеталь.рф/search.html?article=HD670015H0R00","HD670015H0R00")</f>
        <v>HD670015H0R00</v>
      </c>
      <c r="D2328" t="s">
        <v>9</v>
      </c>
    </row>
    <row r="2329" spans="1:4" outlineLevel="1" x14ac:dyDescent="0.25">
      <c r="A2329" t="s">
        <v>338</v>
      </c>
      <c r="B2329" t="s">
        <v>5</v>
      </c>
      <c r="C2329" s="1" t="str">
        <f>HYPERLINK("http://продеталь.рф/search.html?article=HD11109AL","HD11109AL")</f>
        <v>HD11109AL</v>
      </c>
      <c r="D2329" t="s">
        <v>2</v>
      </c>
    </row>
    <row r="2330" spans="1:4" outlineLevel="1" x14ac:dyDescent="0.25">
      <c r="A2330" t="s">
        <v>338</v>
      </c>
      <c r="B2330" t="s">
        <v>5</v>
      </c>
      <c r="C2330" s="1" t="str">
        <f>HYPERLINK("http://продеталь.рф/search.html?article=HD11109AR","HD11109AR")</f>
        <v>HD11109AR</v>
      </c>
      <c r="D2330" t="s">
        <v>2</v>
      </c>
    </row>
    <row r="2331" spans="1:4" x14ac:dyDescent="0.25">
      <c r="A2331" t="s">
        <v>340</v>
      </c>
      <c r="B2331" s="2" t="s">
        <v>340</v>
      </c>
      <c r="C2331" s="2"/>
      <c r="D2331" s="2"/>
    </row>
    <row r="2332" spans="1:4" outlineLevel="1" x14ac:dyDescent="0.25">
      <c r="A2332" t="s">
        <v>340</v>
      </c>
      <c r="B2332" t="s">
        <v>11</v>
      </c>
      <c r="C2332" s="1" t="str">
        <f>HYPERLINK("http://продеталь.рф/search.html?article=HD04244BA","HD04244BA")</f>
        <v>HD04244BA</v>
      </c>
      <c r="D2332" t="s">
        <v>2</v>
      </c>
    </row>
    <row r="2333" spans="1:4" outlineLevel="1" x14ac:dyDescent="0.25">
      <c r="A2333" t="s">
        <v>340</v>
      </c>
      <c r="B2333" t="s">
        <v>3</v>
      </c>
      <c r="C2333" s="1" t="str">
        <f>HYPERLINK("http://продеталь.рф/search.html?article=209244001A","209244001A")</f>
        <v>209244001A</v>
      </c>
      <c r="D2333" t="s">
        <v>4</v>
      </c>
    </row>
    <row r="2334" spans="1:4" outlineLevel="1" x14ac:dyDescent="0.25">
      <c r="A2334" t="s">
        <v>340</v>
      </c>
      <c r="B2334" t="s">
        <v>3</v>
      </c>
      <c r="C2334" s="1" t="str">
        <f>HYPERLINK("http://продеталь.рф/search.html?article=209243001A","209243001A")</f>
        <v>209243001A</v>
      </c>
      <c r="D2334" t="s">
        <v>4</v>
      </c>
    </row>
    <row r="2335" spans="1:4" x14ac:dyDescent="0.25">
      <c r="A2335" t="s">
        <v>341</v>
      </c>
      <c r="B2335" s="2" t="s">
        <v>341</v>
      </c>
      <c r="C2335" s="2"/>
      <c r="D2335" s="2"/>
    </row>
    <row r="2336" spans="1:4" outlineLevel="1" x14ac:dyDescent="0.25">
      <c r="A2336" t="s">
        <v>341</v>
      </c>
      <c r="B2336" t="s">
        <v>11</v>
      </c>
      <c r="C2336" s="1" t="str">
        <f>HYPERLINK("http://продеталь.рф/search.html?article=HD04134BA","HD04134BA")</f>
        <v>HD04134BA</v>
      </c>
      <c r="D2336" t="s">
        <v>2</v>
      </c>
    </row>
    <row r="2337" spans="1:4" outlineLevel="1" x14ac:dyDescent="0.25">
      <c r="A2337" t="s">
        <v>341</v>
      </c>
      <c r="B2337" t="s">
        <v>23</v>
      </c>
      <c r="C2337" s="1" t="str">
        <f>HYPERLINK("http://продеталь.рф/search.html?article=11590600","11590600")</f>
        <v>11590600</v>
      </c>
      <c r="D2337" t="s">
        <v>4</v>
      </c>
    </row>
    <row r="2338" spans="1:4" outlineLevel="1" x14ac:dyDescent="0.25">
      <c r="A2338" t="s">
        <v>341</v>
      </c>
      <c r="B2338" t="s">
        <v>23</v>
      </c>
      <c r="C2338" s="1" t="str">
        <f>HYPERLINK("http://продеталь.рф/search.html?article=11590500","11590500")</f>
        <v>11590500</v>
      </c>
      <c r="D2338" t="s">
        <v>4</v>
      </c>
    </row>
    <row r="2339" spans="1:4" outlineLevel="1" x14ac:dyDescent="0.25">
      <c r="A2339" t="s">
        <v>341</v>
      </c>
      <c r="B2339" t="s">
        <v>24</v>
      </c>
      <c r="C2339" s="1" t="str">
        <f>HYPERLINK("http://продеталь.рф/search.html?article=HD800162","HD800162")</f>
        <v>HD800162</v>
      </c>
      <c r="D2339" t="s">
        <v>9</v>
      </c>
    </row>
    <row r="2340" spans="1:4" outlineLevel="1" x14ac:dyDescent="0.25">
      <c r="A2340" t="s">
        <v>341</v>
      </c>
      <c r="B2340" t="s">
        <v>24</v>
      </c>
      <c r="C2340" s="1" t="str">
        <f>HYPERLINK("http://продеталь.рф/search.html?article=HD800161","HD800161")</f>
        <v>HD800161</v>
      </c>
      <c r="D2340" t="s">
        <v>9</v>
      </c>
    </row>
    <row r="2341" spans="1:4" outlineLevel="1" x14ac:dyDescent="0.25">
      <c r="A2341" t="s">
        <v>341</v>
      </c>
      <c r="B2341" t="s">
        <v>3</v>
      </c>
      <c r="C2341" s="1" t="str">
        <f>HYPERLINK("http://продеталь.рф/search.html?article=206436051A","206436051A")</f>
        <v>206436051A</v>
      </c>
      <c r="D2341" t="s">
        <v>4</v>
      </c>
    </row>
    <row r="2342" spans="1:4" outlineLevel="1" x14ac:dyDescent="0.25">
      <c r="A2342" t="s">
        <v>341</v>
      </c>
      <c r="B2342" t="s">
        <v>3</v>
      </c>
      <c r="C2342" s="1" t="str">
        <f>HYPERLINK("http://продеталь.рф/search.html?article=206435051A","206435051A")</f>
        <v>206435051A</v>
      </c>
      <c r="D2342" t="s">
        <v>4</v>
      </c>
    </row>
    <row r="2343" spans="1:4" outlineLevel="1" x14ac:dyDescent="0.25">
      <c r="A2343" t="s">
        <v>341</v>
      </c>
      <c r="B2343" t="s">
        <v>75</v>
      </c>
      <c r="C2343" s="1" t="str">
        <f>HYPERLINK("http://продеталь.рф/search.html?article=18590200","18590200")</f>
        <v>18590200</v>
      </c>
      <c r="D2343" t="s">
        <v>4</v>
      </c>
    </row>
    <row r="2344" spans="1:4" outlineLevel="1" x14ac:dyDescent="0.25">
      <c r="A2344" t="s">
        <v>341</v>
      </c>
      <c r="B2344" t="s">
        <v>75</v>
      </c>
      <c r="C2344" s="1" t="str">
        <f>HYPERLINK("http://продеталь.рф/search.html?article=18590100","18590100")</f>
        <v>18590100</v>
      </c>
      <c r="D2344" t="s">
        <v>4</v>
      </c>
    </row>
    <row r="2345" spans="1:4" outlineLevel="1" x14ac:dyDescent="0.25">
      <c r="A2345" t="s">
        <v>341</v>
      </c>
      <c r="B2345" t="s">
        <v>13</v>
      </c>
      <c r="C2345" s="1" t="str">
        <f>HYPERLINK("http://продеталь.рф/search.html?article=HD44131A","HD44131A")</f>
        <v>HD44131A</v>
      </c>
      <c r="D2345" t="s">
        <v>99</v>
      </c>
    </row>
    <row r="2346" spans="1:4" x14ac:dyDescent="0.25">
      <c r="A2346" t="s">
        <v>342</v>
      </c>
      <c r="B2346" s="2" t="s">
        <v>342</v>
      </c>
      <c r="C2346" s="2"/>
      <c r="D2346" s="2"/>
    </row>
    <row r="2347" spans="1:4" outlineLevel="1" x14ac:dyDescent="0.25">
      <c r="A2347" t="s">
        <v>342</v>
      </c>
      <c r="B2347" t="s">
        <v>23</v>
      </c>
      <c r="C2347" s="1" t="str">
        <f>HYPERLINK("http://продеталь.рф/search.html?article=ZHD1986L","ZHD1986L")</f>
        <v>ZHD1986L</v>
      </c>
      <c r="D2347" t="s">
        <v>6</v>
      </c>
    </row>
    <row r="2348" spans="1:4" outlineLevel="1" x14ac:dyDescent="0.25">
      <c r="A2348" t="s">
        <v>342</v>
      </c>
      <c r="B2348" t="s">
        <v>1</v>
      </c>
      <c r="C2348" s="1" t="str">
        <f>HYPERLINK("http://продеталь.рф/search.html?article=HD75001502000","HD75001502000")</f>
        <v>HD75001502000</v>
      </c>
      <c r="D2348" t="s">
        <v>9</v>
      </c>
    </row>
    <row r="2349" spans="1:4" outlineLevel="1" x14ac:dyDescent="0.25">
      <c r="A2349" t="s">
        <v>342</v>
      </c>
      <c r="B2349" t="s">
        <v>24</v>
      </c>
      <c r="C2349" s="1" t="str">
        <f>HYPERLINK("http://продеталь.рф/search.html?article=PHD10105AL","PHD10105AL")</f>
        <v>PHD10105AL</v>
      </c>
      <c r="D2349" t="s">
        <v>6</v>
      </c>
    </row>
    <row r="2350" spans="1:4" outlineLevel="1" x14ac:dyDescent="0.25">
      <c r="A2350" t="s">
        <v>342</v>
      </c>
      <c r="B2350" t="s">
        <v>24</v>
      </c>
      <c r="C2350" s="1" t="str">
        <f>HYPERLINK("http://продеталь.рф/search.html?article=PHD10105AR","PHD10105AR")</f>
        <v>PHD10105AR</v>
      </c>
      <c r="D2350" t="s">
        <v>6</v>
      </c>
    </row>
    <row r="2351" spans="1:4" outlineLevel="1" x14ac:dyDescent="0.25">
      <c r="A2351" t="s">
        <v>342</v>
      </c>
      <c r="B2351" t="s">
        <v>3</v>
      </c>
      <c r="C2351" s="1" t="str">
        <f>HYPERLINK("http://продеталь.рф/search.html?article=206926011A","206926011A")</f>
        <v>206926011A</v>
      </c>
      <c r="D2351" t="s">
        <v>4</v>
      </c>
    </row>
    <row r="2352" spans="1:4" outlineLevel="1" x14ac:dyDescent="0.25">
      <c r="A2352" t="s">
        <v>342</v>
      </c>
      <c r="B2352" t="s">
        <v>3</v>
      </c>
      <c r="C2352" s="1" t="str">
        <f>HYPERLINK("http://продеталь.рф/search.html?article=206925011A","206925011A")</f>
        <v>206925011A</v>
      </c>
      <c r="D2352" t="s">
        <v>4</v>
      </c>
    </row>
    <row r="2353" spans="1:4" outlineLevel="1" x14ac:dyDescent="0.25">
      <c r="A2353" t="s">
        <v>342</v>
      </c>
      <c r="B2353" t="s">
        <v>40</v>
      </c>
      <c r="C2353" s="1" t="str">
        <f>HYPERLINK("http://продеталь.рф/search.html?article=HD07117GA","HD07117GA")</f>
        <v>HD07117GA</v>
      </c>
      <c r="D2353" t="s">
        <v>2</v>
      </c>
    </row>
    <row r="2354" spans="1:4" x14ac:dyDescent="0.25">
      <c r="A2354" t="s">
        <v>343</v>
      </c>
      <c r="B2354" s="2" t="s">
        <v>343</v>
      </c>
      <c r="C2354" s="2"/>
      <c r="D2354" s="2"/>
    </row>
    <row r="2355" spans="1:4" outlineLevel="1" x14ac:dyDescent="0.25">
      <c r="A2355" t="s">
        <v>343</v>
      </c>
      <c r="B2355" t="s">
        <v>11</v>
      </c>
      <c r="C2355" s="1" t="str">
        <f>HYPERLINK("http://продеталь.рф/search.html?article=HD75100000000","HD75100000000")</f>
        <v>HD75100000000</v>
      </c>
      <c r="D2355" t="s">
        <v>9</v>
      </c>
    </row>
    <row r="2356" spans="1:4" outlineLevel="1" x14ac:dyDescent="0.25">
      <c r="A2356" t="s">
        <v>343</v>
      </c>
      <c r="B2356" t="s">
        <v>159</v>
      </c>
      <c r="C2356" s="1" t="str">
        <f>HYPERLINK("http://продеталь.рф/search.html?article=HD61032A","HD61032A")</f>
        <v>HD61032A</v>
      </c>
      <c r="D2356" t="s">
        <v>2</v>
      </c>
    </row>
    <row r="2357" spans="1:4" outlineLevel="1" x14ac:dyDescent="0.25">
      <c r="A2357" t="s">
        <v>343</v>
      </c>
      <c r="B2357" t="s">
        <v>1</v>
      </c>
      <c r="C2357" s="1" t="str">
        <f>HYPERLINK("http://продеталь.рф/search.html?article=GD99C49","GD99C49")</f>
        <v>GD99C49</v>
      </c>
      <c r="D2357" t="s">
        <v>36</v>
      </c>
    </row>
    <row r="2358" spans="1:4" outlineLevel="1" x14ac:dyDescent="0.25">
      <c r="A2358" t="s">
        <v>343</v>
      </c>
      <c r="B2358" t="s">
        <v>24</v>
      </c>
      <c r="C2358" s="1" t="str">
        <f>HYPERLINK("http://продеталь.рф/search.html?article=302HDF196","302HDF196")</f>
        <v>302HDF196</v>
      </c>
      <c r="D2358" t="s">
        <v>4</v>
      </c>
    </row>
    <row r="2359" spans="1:4" outlineLevel="1" x14ac:dyDescent="0.25">
      <c r="A2359" t="s">
        <v>343</v>
      </c>
      <c r="B2359" t="s">
        <v>3</v>
      </c>
      <c r="C2359" s="1" t="str">
        <f>HYPERLINK("http://продеталь.рф/search.html?article=209022001A","209022001A")</f>
        <v>209022001A</v>
      </c>
      <c r="D2359" t="s">
        <v>4</v>
      </c>
    </row>
    <row r="2360" spans="1:4" outlineLevel="1" x14ac:dyDescent="0.25">
      <c r="A2360" t="s">
        <v>343</v>
      </c>
      <c r="B2360" t="s">
        <v>3</v>
      </c>
      <c r="C2360" s="1" t="str">
        <f>HYPERLINK("http://продеталь.рф/search.html?article=209021001A","209021001A")</f>
        <v>209021001A</v>
      </c>
      <c r="D2360" t="s">
        <v>4</v>
      </c>
    </row>
    <row r="2361" spans="1:4" outlineLevel="1" x14ac:dyDescent="0.25">
      <c r="A2361" t="s">
        <v>343</v>
      </c>
      <c r="B2361" t="s">
        <v>3</v>
      </c>
      <c r="C2361" s="1" t="str">
        <f>HYPERLINK("http://продеталь.рф/search.html?article=209022A01A","209022A01A")</f>
        <v>209022A01A</v>
      </c>
      <c r="D2361" t="s">
        <v>4</v>
      </c>
    </row>
    <row r="2362" spans="1:4" outlineLevel="1" x14ac:dyDescent="0.25">
      <c r="A2362" t="s">
        <v>343</v>
      </c>
      <c r="B2362" t="s">
        <v>3</v>
      </c>
      <c r="C2362" s="1" t="str">
        <f>HYPERLINK("http://продеталь.рф/search.html?article=209021A01A","209021A01A")</f>
        <v>209021A01A</v>
      </c>
      <c r="D2362" t="s">
        <v>4</v>
      </c>
    </row>
    <row r="2363" spans="1:4" outlineLevel="1" x14ac:dyDescent="0.25">
      <c r="A2363" t="s">
        <v>343</v>
      </c>
      <c r="B2363" t="s">
        <v>139</v>
      </c>
      <c r="C2363" s="1" t="str">
        <f>HYPERLINK("http://продеталь.рф/search.html?article=PHD21081AL","PHD21081AL")</f>
        <v>PHD21081AL</v>
      </c>
      <c r="D2363" t="s">
        <v>6</v>
      </c>
    </row>
    <row r="2364" spans="1:4" outlineLevel="1" x14ac:dyDescent="0.25">
      <c r="A2364" t="s">
        <v>343</v>
      </c>
      <c r="B2364" t="s">
        <v>139</v>
      </c>
      <c r="C2364" s="1" t="str">
        <f>HYPERLINK("http://продеталь.рф/search.html?article=PHD21091AL","PHD21091AL")</f>
        <v>PHD21091AL</v>
      </c>
      <c r="D2364" t="s">
        <v>6</v>
      </c>
    </row>
    <row r="2365" spans="1:4" outlineLevel="1" x14ac:dyDescent="0.25">
      <c r="A2365" t="s">
        <v>343</v>
      </c>
      <c r="B2365" t="s">
        <v>139</v>
      </c>
      <c r="C2365" s="1" t="str">
        <f>HYPERLINK("http://продеталь.рф/search.html?article=PHD21091AR","PHD21091AR")</f>
        <v>PHD21091AR</v>
      </c>
      <c r="D2365" t="s">
        <v>6</v>
      </c>
    </row>
    <row r="2366" spans="1:4" outlineLevel="1" x14ac:dyDescent="0.25">
      <c r="A2366" t="s">
        <v>343</v>
      </c>
      <c r="B2366" t="s">
        <v>139</v>
      </c>
      <c r="C2366" s="1" t="str">
        <f>HYPERLINK("http://продеталь.рф/search.html?article=PHD21081AR","PHD21081AR")</f>
        <v>PHD21081AR</v>
      </c>
      <c r="D2366" t="s">
        <v>6</v>
      </c>
    </row>
    <row r="2367" spans="1:4" outlineLevel="1" x14ac:dyDescent="0.25">
      <c r="A2367" t="s">
        <v>343</v>
      </c>
      <c r="B2367" t="s">
        <v>5</v>
      </c>
      <c r="C2367" s="1" t="str">
        <f>HYPERLINK("http://продеталь.рф/search.html?article=HD11124AL","HD11124AL")</f>
        <v>HD11124AL</v>
      </c>
      <c r="D2367" t="s">
        <v>2</v>
      </c>
    </row>
    <row r="2368" spans="1:4" outlineLevel="1" x14ac:dyDescent="0.25">
      <c r="A2368" t="s">
        <v>343</v>
      </c>
      <c r="B2368" t="s">
        <v>5</v>
      </c>
      <c r="C2368" s="1" t="str">
        <f>HYPERLINK("http://продеталь.рф/search.html?article=HD11124AR","HD11124AR")</f>
        <v>HD11124AR</v>
      </c>
      <c r="D2368" t="s">
        <v>2</v>
      </c>
    </row>
    <row r="2369" spans="1:4" outlineLevel="1" x14ac:dyDescent="0.25">
      <c r="A2369" t="s">
        <v>343</v>
      </c>
      <c r="B2369" t="s">
        <v>5</v>
      </c>
      <c r="C2369" s="1" t="str">
        <f>HYPERLINK("http://продеталь.рф/search.html?article=HD751016L2L00","HD751016L2L00")</f>
        <v>HD751016L2L00</v>
      </c>
      <c r="D2369" t="s">
        <v>9</v>
      </c>
    </row>
    <row r="2370" spans="1:4" outlineLevel="1" x14ac:dyDescent="0.25">
      <c r="A2370" t="s">
        <v>343</v>
      </c>
      <c r="B2370" t="s">
        <v>5</v>
      </c>
      <c r="C2370" s="1" t="str">
        <f>HYPERLINK("http://продеталь.рф/search.html?article=HD751016L2R00","HD751016L2R00")</f>
        <v>HD751016L2R00</v>
      </c>
      <c r="D2370" t="s">
        <v>9</v>
      </c>
    </row>
    <row r="2371" spans="1:4" outlineLevel="1" x14ac:dyDescent="0.25">
      <c r="A2371" t="s">
        <v>343</v>
      </c>
      <c r="B2371" t="s">
        <v>19</v>
      </c>
      <c r="C2371" s="1" t="str">
        <f>HYPERLINK("http://продеталь.рф/search.html?article=195940001A","195940001A")</f>
        <v>195940001A</v>
      </c>
      <c r="D2371" t="s">
        <v>4</v>
      </c>
    </row>
    <row r="2372" spans="1:4" outlineLevel="1" x14ac:dyDescent="0.25">
      <c r="A2372" t="s">
        <v>343</v>
      </c>
      <c r="B2372" t="s">
        <v>12</v>
      </c>
      <c r="C2372" s="1" t="str">
        <f>HYPERLINK("http://продеталь.рф/search.html?article=HD07119GA","HD07119GA")</f>
        <v>HD07119GA</v>
      </c>
      <c r="D2372" t="s">
        <v>2</v>
      </c>
    </row>
    <row r="2373" spans="1:4" x14ac:dyDescent="0.25">
      <c r="A2373" t="s">
        <v>344</v>
      </c>
      <c r="B2373" s="2" t="s">
        <v>344</v>
      </c>
      <c r="C2373" s="2"/>
      <c r="D2373" s="2"/>
    </row>
    <row r="2374" spans="1:4" outlineLevel="1" x14ac:dyDescent="0.25">
      <c r="A2374" t="s">
        <v>344</v>
      </c>
      <c r="B2374" t="s">
        <v>11</v>
      </c>
      <c r="C2374" s="1" t="str">
        <f>HYPERLINK("http://продеталь.рф/search.html?article=305HDF159","305HDF159")</f>
        <v>305HDF159</v>
      </c>
      <c r="D2374" t="s">
        <v>4</v>
      </c>
    </row>
    <row r="2375" spans="1:4" outlineLevel="1" x14ac:dyDescent="0.25">
      <c r="A2375" t="s">
        <v>344</v>
      </c>
      <c r="B2375" t="s">
        <v>79</v>
      </c>
      <c r="C2375" s="1" t="str">
        <f>HYPERLINK("http://продеталь.рф/search.html?article=682HDR034","682HDR034")</f>
        <v>682HDR034</v>
      </c>
      <c r="D2375" t="s">
        <v>4</v>
      </c>
    </row>
    <row r="2376" spans="1:4" outlineLevel="1" x14ac:dyDescent="0.25">
      <c r="A2376" t="s">
        <v>344</v>
      </c>
      <c r="B2376" t="s">
        <v>35</v>
      </c>
      <c r="C2376" s="1" t="str">
        <f>HYPERLINK("http://продеталь.рф/search.html?article=PHD33034A","PHD33034A")</f>
        <v>PHD33034A</v>
      </c>
      <c r="D2376" t="s">
        <v>6</v>
      </c>
    </row>
    <row r="2377" spans="1:4" outlineLevel="1" x14ac:dyDescent="0.25">
      <c r="A2377" t="s">
        <v>344</v>
      </c>
      <c r="B2377" t="s">
        <v>84</v>
      </c>
      <c r="C2377" s="1" t="str">
        <f>HYPERLINK("http://продеталь.рф/search.html?article=HD351000U0R00","HD351000U0R00")</f>
        <v>HD351000U0R00</v>
      </c>
      <c r="D2377" t="s">
        <v>9</v>
      </c>
    </row>
    <row r="2378" spans="1:4" outlineLevel="1" x14ac:dyDescent="0.25">
      <c r="A2378" t="s">
        <v>344</v>
      </c>
      <c r="B2378" t="s">
        <v>84</v>
      </c>
      <c r="C2378" s="1" t="str">
        <f>HYPERLINK("http://продеталь.рф/search.html?article=HD351000U0L00","HD351000U0L00")</f>
        <v>HD351000U0L00</v>
      </c>
      <c r="D2378" t="s">
        <v>9</v>
      </c>
    </row>
    <row r="2379" spans="1:4" outlineLevel="1" x14ac:dyDescent="0.25">
      <c r="A2379" t="s">
        <v>344</v>
      </c>
      <c r="B2379" t="s">
        <v>13</v>
      </c>
      <c r="C2379" s="1" t="str">
        <f>HYPERLINK("http://продеталь.рф/search.html?article=72HDF081","72HDF081")</f>
        <v>72HDF081</v>
      </c>
      <c r="D2379" t="s">
        <v>4</v>
      </c>
    </row>
    <row r="2380" spans="1:4" x14ac:dyDescent="0.25">
      <c r="A2380" t="s">
        <v>345</v>
      </c>
      <c r="B2380" s="2" t="s">
        <v>345</v>
      </c>
      <c r="C2380" s="2"/>
      <c r="D2380" s="2"/>
    </row>
    <row r="2381" spans="1:4" outlineLevel="1" x14ac:dyDescent="0.25">
      <c r="A2381" t="s">
        <v>345</v>
      </c>
      <c r="B2381" t="s">
        <v>15</v>
      </c>
      <c r="C2381" s="1" t="str">
        <f>HYPERLINK("http://продеталь.рф/search.html?article=VHDM1018EL","VHDM1018EL")</f>
        <v>VHDM1018EL</v>
      </c>
      <c r="D2381" t="s">
        <v>6</v>
      </c>
    </row>
    <row r="2382" spans="1:4" outlineLevel="1" x14ac:dyDescent="0.25">
      <c r="A2382" t="s">
        <v>345</v>
      </c>
      <c r="B2382" t="s">
        <v>15</v>
      </c>
      <c r="C2382" s="1" t="str">
        <f>HYPERLINK("http://продеталь.рф/search.html?article=VHDM1018ER","VHDM1018ER")</f>
        <v>VHDM1018ER</v>
      </c>
      <c r="D2382" t="s">
        <v>6</v>
      </c>
    </row>
    <row r="2383" spans="1:4" outlineLevel="1" x14ac:dyDescent="0.25">
      <c r="A2383" t="s">
        <v>345</v>
      </c>
      <c r="B2383" t="s">
        <v>346</v>
      </c>
      <c r="C2383" s="1" t="str">
        <f>HYPERLINK("http://продеталь.рф/search.html?article=VHDM1002CL","VHDM1002CL")</f>
        <v>VHDM1002CL</v>
      </c>
      <c r="D2383" t="s">
        <v>6</v>
      </c>
    </row>
    <row r="2384" spans="1:4" outlineLevel="1" x14ac:dyDescent="0.25">
      <c r="A2384" t="s">
        <v>345</v>
      </c>
      <c r="B2384" t="s">
        <v>347</v>
      </c>
      <c r="C2384" s="1" t="str">
        <f>HYPERLINK("http://продеталь.рф/search.html?article=VHDM1002CR","VHDM1002CR")</f>
        <v>VHDM1002CR</v>
      </c>
      <c r="D2384" t="s">
        <v>6</v>
      </c>
    </row>
    <row r="2385" spans="1:4" outlineLevel="1" x14ac:dyDescent="0.25">
      <c r="A2385" t="s">
        <v>345</v>
      </c>
      <c r="B2385" t="s">
        <v>79</v>
      </c>
      <c r="C2385" s="1" t="str">
        <f>HYPERLINK("http://продеталь.рф/search.html?article=HD75004A0","HD75004A0")</f>
        <v>HD75004A0</v>
      </c>
      <c r="D2385" t="s">
        <v>9</v>
      </c>
    </row>
    <row r="2386" spans="1:4" outlineLevel="1" x14ac:dyDescent="0.25">
      <c r="A2386" t="s">
        <v>345</v>
      </c>
      <c r="B2386" t="s">
        <v>79</v>
      </c>
      <c r="C2386" s="1" t="str">
        <f>HYPERLINK("http://продеталь.рф/search.html?article=HD75004B0","HD75004B0")</f>
        <v>HD75004B0</v>
      </c>
      <c r="D2386" t="s">
        <v>9</v>
      </c>
    </row>
    <row r="2387" spans="1:4" outlineLevel="1" x14ac:dyDescent="0.25">
      <c r="A2387" t="s">
        <v>345</v>
      </c>
      <c r="B2387" t="s">
        <v>1</v>
      </c>
      <c r="C2387" s="1" t="str">
        <f>HYPERLINK("http://продеталь.рф/search.html?article=HD20042A","HD20042A")</f>
        <v>HD20042A</v>
      </c>
      <c r="D2387" t="s">
        <v>2</v>
      </c>
    </row>
    <row r="2388" spans="1:4" outlineLevel="1" x14ac:dyDescent="0.25">
      <c r="A2388" t="s">
        <v>345</v>
      </c>
      <c r="B2388" t="s">
        <v>24</v>
      </c>
      <c r="C2388" s="1" t="str">
        <f>HYPERLINK("http://продеталь.рф/search.html?article=HD75001601L00","HD75001601L00")</f>
        <v>HD75001601L00</v>
      </c>
      <c r="D2388" t="s">
        <v>9</v>
      </c>
    </row>
    <row r="2389" spans="1:4" outlineLevel="1" x14ac:dyDescent="0.25">
      <c r="A2389" t="s">
        <v>345</v>
      </c>
      <c r="B2389" t="s">
        <v>27</v>
      </c>
      <c r="C2389" s="1" t="str">
        <f>HYPERLINK("http://продеталь.рф/search.html?article=PHD30073A","PHD30073A")</f>
        <v>PHD30073A</v>
      </c>
      <c r="D2389" t="s">
        <v>6</v>
      </c>
    </row>
    <row r="2390" spans="1:4" outlineLevel="1" x14ac:dyDescent="0.25">
      <c r="A2390" t="s">
        <v>345</v>
      </c>
      <c r="B2390" t="s">
        <v>3</v>
      </c>
      <c r="C2390" s="1" t="str">
        <f>HYPERLINK("http://продеталь.рф/search.html?article=200444052","200444052")</f>
        <v>200444052</v>
      </c>
      <c r="D2390" t="s">
        <v>4</v>
      </c>
    </row>
    <row r="2391" spans="1:4" outlineLevel="1" x14ac:dyDescent="0.25">
      <c r="A2391" t="s">
        <v>345</v>
      </c>
      <c r="B2391" t="s">
        <v>3</v>
      </c>
      <c r="C2391" s="1" t="str">
        <f>HYPERLINK("http://продеталь.рф/search.html?article=200443052","200443052")</f>
        <v>200443052</v>
      </c>
      <c r="D2391" t="s">
        <v>4</v>
      </c>
    </row>
    <row r="2392" spans="1:4" outlineLevel="1" x14ac:dyDescent="0.25">
      <c r="A2392" t="s">
        <v>345</v>
      </c>
      <c r="B2392" t="s">
        <v>3</v>
      </c>
      <c r="C2392" s="1" t="str">
        <f>HYPERLINK("http://продеталь.рф/search.html?article=201193062","201193062")</f>
        <v>201193062</v>
      </c>
      <c r="D2392" t="s">
        <v>4</v>
      </c>
    </row>
    <row r="2393" spans="1:4" outlineLevel="1" x14ac:dyDescent="0.25">
      <c r="A2393" t="s">
        <v>345</v>
      </c>
      <c r="B2393" t="s">
        <v>3</v>
      </c>
      <c r="C2393" s="1" t="str">
        <f>HYPERLINK("http://продеталь.рф/search.html?article=201194062","201194062")</f>
        <v>201194062</v>
      </c>
      <c r="D2393" t="s">
        <v>4</v>
      </c>
    </row>
    <row r="2394" spans="1:4" outlineLevel="1" x14ac:dyDescent="0.25">
      <c r="A2394" t="s">
        <v>345</v>
      </c>
      <c r="B2394" t="s">
        <v>5</v>
      </c>
      <c r="C2394" s="1" t="str">
        <f>HYPERLINK("http://продеталь.рф/search.html?article=3835FP1","3835FP1")</f>
        <v>3835FP1</v>
      </c>
      <c r="D2394" t="s">
        <v>81</v>
      </c>
    </row>
    <row r="2395" spans="1:4" outlineLevel="1" x14ac:dyDescent="0.25">
      <c r="A2395" t="s">
        <v>345</v>
      </c>
      <c r="B2395" t="s">
        <v>19</v>
      </c>
      <c r="C2395" s="1" t="str">
        <f>HYPERLINK("http://продеталь.рф/search.html?article=HD752250","HD752250")</f>
        <v>HD752250</v>
      </c>
      <c r="D2395" t="s">
        <v>9</v>
      </c>
    </row>
    <row r="2396" spans="1:4" outlineLevel="1" x14ac:dyDescent="0.25">
      <c r="A2396" t="s">
        <v>345</v>
      </c>
      <c r="B2396" t="s">
        <v>28</v>
      </c>
      <c r="C2396" s="1" t="str">
        <f>HYPERLINK("http://продеталь.рф/search.html?article=RA68111A","RA68111A")</f>
        <v>RA68111A</v>
      </c>
      <c r="D2396" t="s">
        <v>6</v>
      </c>
    </row>
    <row r="2397" spans="1:4" x14ac:dyDescent="0.25">
      <c r="A2397" t="s">
        <v>348</v>
      </c>
      <c r="B2397" s="2" t="s">
        <v>348</v>
      </c>
      <c r="C2397" s="2"/>
      <c r="D2397" s="2"/>
    </row>
    <row r="2398" spans="1:4" outlineLevel="1" x14ac:dyDescent="0.25">
      <c r="A2398" t="s">
        <v>348</v>
      </c>
      <c r="B2398" t="s">
        <v>349</v>
      </c>
      <c r="C2398" s="1" t="str">
        <f>HYPERLINK("http://продеталь.рф/search.html?article=DUAK2865022510","DUAK2865022510")</f>
        <v>DUAK2865022510</v>
      </c>
      <c r="D2398" t="s">
        <v>244</v>
      </c>
    </row>
    <row r="2399" spans="1:4" outlineLevel="1" x14ac:dyDescent="0.25">
      <c r="A2399" t="s">
        <v>348</v>
      </c>
      <c r="B2399" t="s">
        <v>24</v>
      </c>
      <c r="C2399" s="1" t="str">
        <f>HYPERLINK("http://продеталь.рф/search.html?article=HN10004AL","HN10004AL")</f>
        <v>HN10004AL</v>
      </c>
      <c r="D2399" t="s">
        <v>2</v>
      </c>
    </row>
    <row r="2400" spans="1:4" outlineLevel="1" x14ac:dyDescent="0.25">
      <c r="A2400" t="s">
        <v>348</v>
      </c>
      <c r="B2400" t="s">
        <v>3</v>
      </c>
      <c r="C2400" s="1" t="str">
        <f>HYPERLINK("http://продеталь.рф/search.html?article=203380056","203380056")</f>
        <v>203380056</v>
      </c>
      <c r="D2400" t="s">
        <v>4</v>
      </c>
    </row>
    <row r="2401" spans="1:4" outlineLevel="1" x14ac:dyDescent="0.25">
      <c r="A2401" t="s">
        <v>348</v>
      </c>
      <c r="B2401" t="s">
        <v>3</v>
      </c>
      <c r="C2401" s="1" t="str">
        <f>HYPERLINK("http://продеталь.рф/search.html?article=203379056","203379056")</f>
        <v>203379056</v>
      </c>
      <c r="D2401" t="s">
        <v>4</v>
      </c>
    </row>
    <row r="2402" spans="1:4" outlineLevel="1" x14ac:dyDescent="0.25">
      <c r="A2402" t="s">
        <v>348</v>
      </c>
      <c r="B2402" t="s">
        <v>5</v>
      </c>
      <c r="C2402" s="1" t="str">
        <f>HYPERLINK("http://продеталь.рф/search.html?article=HN03016L2","HN03016L2")</f>
        <v>HN03016L2</v>
      </c>
      <c r="D2402" t="s">
        <v>9</v>
      </c>
    </row>
    <row r="2403" spans="1:4" outlineLevel="1" x14ac:dyDescent="0.25">
      <c r="A2403" t="s">
        <v>348</v>
      </c>
      <c r="B2403" t="s">
        <v>5</v>
      </c>
      <c r="C2403" s="1" t="str">
        <f>HYPERLINK("http://продеталь.рф/search.html?article=HN03016L1","HN03016L1")</f>
        <v>HN03016L1</v>
      </c>
      <c r="D2403" t="s">
        <v>9</v>
      </c>
    </row>
    <row r="2404" spans="1:4" outlineLevel="1" x14ac:dyDescent="0.25">
      <c r="A2404" t="s">
        <v>348</v>
      </c>
      <c r="B2404" t="s">
        <v>16</v>
      </c>
      <c r="C2404" s="1" t="str">
        <f>HYPERLINK("http://продеталь.рф/search.html?article=183102016","183102016")</f>
        <v>183102016</v>
      </c>
      <c r="D2404" t="s">
        <v>4</v>
      </c>
    </row>
    <row r="2405" spans="1:4" outlineLevel="1" x14ac:dyDescent="0.25">
      <c r="A2405" t="s">
        <v>348</v>
      </c>
      <c r="B2405" t="s">
        <v>16</v>
      </c>
      <c r="C2405" s="1" t="str">
        <f>HYPERLINK("http://продеталь.рф/search.html?article=183101016","183101016")</f>
        <v>183101016</v>
      </c>
      <c r="D2405" t="s">
        <v>4</v>
      </c>
    </row>
    <row r="2406" spans="1:4" x14ac:dyDescent="0.25">
      <c r="A2406" t="s">
        <v>350</v>
      </c>
      <c r="B2406" s="2" t="s">
        <v>350</v>
      </c>
      <c r="C2406" s="2"/>
      <c r="D2406" s="2"/>
    </row>
    <row r="2407" spans="1:4" outlineLevel="1" x14ac:dyDescent="0.25">
      <c r="A2407" t="s">
        <v>350</v>
      </c>
      <c r="B2407" t="s">
        <v>16</v>
      </c>
      <c r="C2407" s="1" t="str">
        <f>HYPERLINK("http://продеталь.рф/search.html?article=185585056","185585056")</f>
        <v>185585056</v>
      </c>
      <c r="D2407" t="s">
        <v>4</v>
      </c>
    </row>
    <row r="2408" spans="1:4" x14ac:dyDescent="0.25">
      <c r="A2408" t="s">
        <v>351</v>
      </c>
      <c r="B2408" s="2" t="s">
        <v>351</v>
      </c>
      <c r="C2408" s="2"/>
      <c r="D2408" s="2"/>
    </row>
    <row r="2409" spans="1:4" outlineLevel="1" x14ac:dyDescent="0.25">
      <c r="A2409" t="s">
        <v>351</v>
      </c>
      <c r="B2409" t="s">
        <v>11</v>
      </c>
      <c r="C2409" s="1" t="str">
        <f>HYPERLINK("http://продеталь.рф/search.html?article=PHN04006BR","PHN04006BR")</f>
        <v>PHN04006BR</v>
      </c>
      <c r="D2409" t="s">
        <v>6</v>
      </c>
    </row>
    <row r="2410" spans="1:4" outlineLevel="1" x14ac:dyDescent="0.25">
      <c r="A2410" t="s">
        <v>351</v>
      </c>
      <c r="B2410" t="s">
        <v>11</v>
      </c>
      <c r="C2410" s="1" t="str">
        <f>HYPERLINK("http://продеталь.рф/search.html?article=PHN04011BAK","PHN04011BAK")</f>
        <v>PHN04011BAK</v>
      </c>
      <c r="D2410" t="s">
        <v>6</v>
      </c>
    </row>
    <row r="2411" spans="1:4" outlineLevel="1" x14ac:dyDescent="0.25">
      <c r="A2411" t="s">
        <v>351</v>
      </c>
      <c r="B2411" t="s">
        <v>15</v>
      </c>
      <c r="C2411" s="1" t="str">
        <f>HYPERLINK("http://продеталь.рф/search.html?article=VHNM1002KAR","VHNM1002KAR")</f>
        <v>VHNM1002KAR</v>
      </c>
      <c r="D2411" t="s">
        <v>6</v>
      </c>
    </row>
    <row r="2412" spans="1:4" outlineLevel="1" x14ac:dyDescent="0.25">
      <c r="A2412" t="s">
        <v>351</v>
      </c>
      <c r="B2412" t="s">
        <v>15</v>
      </c>
      <c r="C2412" s="1" t="str">
        <f>HYPERLINK("http://продеталь.рф/search.html?article=VHNM1002KBL","VHNM1002KBL")</f>
        <v>VHNM1002KBL</v>
      </c>
      <c r="D2412" t="s">
        <v>6</v>
      </c>
    </row>
    <row r="2413" spans="1:4" outlineLevel="1" x14ac:dyDescent="0.25">
      <c r="A2413" t="s">
        <v>351</v>
      </c>
      <c r="B2413" t="s">
        <v>15</v>
      </c>
      <c r="C2413" s="1" t="str">
        <f>HYPERLINK("http://продеталь.рф/search.html?article=VHNM1002KBR","VHNM1002KBR")</f>
        <v>VHNM1002KBR</v>
      </c>
      <c r="D2413" t="s">
        <v>6</v>
      </c>
    </row>
    <row r="2414" spans="1:4" outlineLevel="1" x14ac:dyDescent="0.25">
      <c r="A2414" t="s">
        <v>351</v>
      </c>
      <c r="B2414" t="s">
        <v>79</v>
      </c>
      <c r="C2414" s="1" t="str">
        <f>HYPERLINK("http://продеталь.рф/search.html?article=HN040040","HN040040")</f>
        <v>HN040040</v>
      </c>
      <c r="D2414" t="s">
        <v>9</v>
      </c>
    </row>
    <row r="2415" spans="1:4" outlineLevel="1" x14ac:dyDescent="0.25">
      <c r="A2415" t="s">
        <v>351</v>
      </c>
      <c r="B2415" t="s">
        <v>24</v>
      </c>
      <c r="C2415" s="1" t="str">
        <f>HYPERLINK("http://продеталь.рф/search.html?article=HN04001603L00","HN04001603L00")</f>
        <v>HN04001603L00</v>
      </c>
      <c r="D2415" t="s">
        <v>9</v>
      </c>
    </row>
    <row r="2416" spans="1:4" outlineLevel="1" x14ac:dyDescent="0.25">
      <c r="A2416" t="s">
        <v>351</v>
      </c>
      <c r="B2416" t="s">
        <v>27</v>
      </c>
      <c r="C2416" s="1" t="str">
        <f>HYPERLINK("http://продеталь.рф/search.html?article=PHN30013A","PHN30013A")</f>
        <v>PHN30013A</v>
      </c>
      <c r="D2416" t="s">
        <v>6</v>
      </c>
    </row>
    <row r="2417" spans="1:4" outlineLevel="1" x14ac:dyDescent="0.25">
      <c r="A2417" t="s">
        <v>351</v>
      </c>
      <c r="B2417" t="s">
        <v>27</v>
      </c>
      <c r="C2417" s="1" t="str">
        <f>HYPERLINK("http://продеталь.рф/search.html?article=HN040090","HN040090")</f>
        <v>HN040090</v>
      </c>
      <c r="D2417" t="s">
        <v>9</v>
      </c>
    </row>
    <row r="2418" spans="1:4" outlineLevel="1" x14ac:dyDescent="0.25">
      <c r="A2418" t="s">
        <v>351</v>
      </c>
      <c r="B2418" t="s">
        <v>3</v>
      </c>
      <c r="C2418" s="1" t="str">
        <f>HYPERLINK("http://продеталь.рф/search.html?article=ZHN1116KEL","ZHN1116KEL")</f>
        <v>ZHN1116KEL</v>
      </c>
      <c r="D2418" t="s">
        <v>6</v>
      </c>
    </row>
    <row r="2419" spans="1:4" outlineLevel="1" x14ac:dyDescent="0.25">
      <c r="A2419" t="s">
        <v>351</v>
      </c>
      <c r="B2419" t="s">
        <v>3</v>
      </c>
      <c r="C2419" s="1" t="str">
        <f>HYPERLINK("http://продеталь.рф/search.html?article=ZHN1116KER","ZHN1116KER")</f>
        <v>ZHN1116KER</v>
      </c>
      <c r="D2419" t="s">
        <v>6</v>
      </c>
    </row>
    <row r="2420" spans="1:4" outlineLevel="1" x14ac:dyDescent="0.25">
      <c r="A2420" t="s">
        <v>351</v>
      </c>
      <c r="B2420" t="s">
        <v>5</v>
      </c>
      <c r="C2420" s="1" t="str">
        <f>HYPERLINK("http://продеталь.рф/search.html?article=HN11014AL","HN11014AL")</f>
        <v>HN11014AL</v>
      </c>
      <c r="D2420" t="s">
        <v>2</v>
      </c>
    </row>
    <row r="2421" spans="1:4" outlineLevel="1" x14ac:dyDescent="0.25">
      <c r="A2421" t="s">
        <v>351</v>
      </c>
      <c r="B2421" t="s">
        <v>5</v>
      </c>
      <c r="C2421" s="1" t="str">
        <f>HYPERLINK("http://продеталь.рф/search.html?article=HN11014AR","HN11014AR")</f>
        <v>HN11014AR</v>
      </c>
      <c r="D2421" t="s">
        <v>2</v>
      </c>
    </row>
    <row r="2422" spans="1:4" outlineLevel="1" x14ac:dyDescent="0.25">
      <c r="A2422" t="s">
        <v>351</v>
      </c>
      <c r="B2422" t="s">
        <v>19</v>
      </c>
      <c r="C2422" s="1" t="str">
        <f>HYPERLINK("http://продеталь.рф/search.html?article=ZHN2008L","ZHN2008L")</f>
        <v>ZHN2008L</v>
      </c>
      <c r="D2422" t="s">
        <v>6</v>
      </c>
    </row>
    <row r="2423" spans="1:4" outlineLevel="1" x14ac:dyDescent="0.25">
      <c r="A2423" t="s">
        <v>351</v>
      </c>
      <c r="B2423" t="s">
        <v>28</v>
      </c>
      <c r="C2423" s="1" t="str">
        <f>HYPERLINK("http://продеталь.рф/search.html?article=RA67022","RA67022")</f>
        <v>RA67022</v>
      </c>
      <c r="D2423" t="s">
        <v>6</v>
      </c>
    </row>
    <row r="2424" spans="1:4" outlineLevel="1" x14ac:dyDescent="0.25">
      <c r="A2424" t="s">
        <v>351</v>
      </c>
      <c r="B2424" t="s">
        <v>28</v>
      </c>
      <c r="C2424" s="1" t="str">
        <f>HYPERLINK("http://продеталь.рф/search.html?article=327023","327023")</f>
        <v>327023</v>
      </c>
      <c r="D2424" t="s">
        <v>135</v>
      </c>
    </row>
    <row r="2425" spans="1:4" outlineLevel="1" x14ac:dyDescent="0.25">
      <c r="A2425" t="s">
        <v>351</v>
      </c>
      <c r="B2425" t="s">
        <v>12</v>
      </c>
      <c r="C2425" s="1" t="str">
        <f>HYPERLINK("http://продеталь.рф/search.html?article=HN07009GA","HN07009GA")</f>
        <v>HN07009GA</v>
      </c>
      <c r="D2425" t="s">
        <v>2</v>
      </c>
    </row>
    <row r="2426" spans="1:4" outlineLevel="1" x14ac:dyDescent="0.25">
      <c r="A2426" t="s">
        <v>351</v>
      </c>
      <c r="B2426" t="s">
        <v>13</v>
      </c>
      <c r="C2426" s="1" t="str">
        <f>HYPERLINK("http://продеталь.рф/search.html?article=HN44014AS","HN44014AS")</f>
        <v>HN44014AS</v>
      </c>
      <c r="D2426" t="s">
        <v>2</v>
      </c>
    </row>
    <row r="2427" spans="1:4" x14ac:dyDescent="0.25">
      <c r="A2427" t="s">
        <v>352</v>
      </c>
      <c r="B2427" s="2" t="s">
        <v>352</v>
      </c>
      <c r="C2427" s="2"/>
      <c r="D2427" s="2"/>
    </row>
    <row r="2428" spans="1:4" outlineLevel="1" x14ac:dyDescent="0.25">
      <c r="A2428" t="s">
        <v>352</v>
      </c>
      <c r="B2428" t="s">
        <v>12</v>
      </c>
      <c r="C2428" s="1" t="str">
        <f>HYPERLINK("http://продеталь.рф/search.html?article=PHN07018GAK","PHN07018GAK")</f>
        <v>PHN07018GAK</v>
      </c>
      <c r="D2428" t="s">
        <v>6</v>
      </c>
    </row>
    <row r="2429" spans="1:4" outlineLevel="1" x14ac:dyDescent="0.25">
      <c r="A2429" t="s">
        <v>352</v>
      </c>
      <c r="B2429" t="s">
        <v>13</v>
      </c>
      <c r="C2429" s="1" t="str">
        <f>HYPERLINK("http://продеталь.рф/search.html?article=HN04000RB0","HN04000RB0")</f>
        <v>HN04000RB0</v>
      </c>
      <c r="D2429" t="s">
        <v>9</v>
      </c>
    </row>
    <row r="2430" spans="1:4" x14ac:dyDescent="0.25">
      <c r="A2430" t="s">
        <v>353</v>
      </c>
      <c r="B2430" s="2" t="s">
        <v>353</v>
      </c>
      <c r="C2430" s="2"/>
      <c r="D2430" s="2"/>
    </row>
    <row r="2431" spans="1:4" outlineLevel="1" x14ac:dyDescent="0.25">
      <c r="A2431" t="s">
        <v>353</v>
      </c>
      <c r="B2431" t="s">
        <v>11</v>
      </c>
      <c r="C2431" s="1" t="str">
        <f>HYPERLINK("http://продеталь.рф/search.html?article=HN04057BA","HN04057BA")</f>
        <v>HN04057BA</v>
      </c>
      <c r="D2431" t="s">
        <v>2</v>
      </c>
    </row>
    <row r="2432" spans="1:4" x14ac:dyDescent="0.25">
      <c r="A2432" t="s">
        <v>354</v>
      </c>
      <c r="B2432" s="2" t="s">
        <v>354</v>
      </c>
      <c r="C2432" s="2"/>
      <c r="D2432" s="2"/>
    </row>
    <row r="2433" spans="1:4" outlineLevel="1" x14ac:dyDescent="0.25">
      <c r="A2433" t="s">
        <v>354</v>
      </c>
      <c r="B2433" t="s">
        <v>159</v>
      </c>
      <c r="C2433" s="1" t="str">
        <f>HYPERLINK("http://продеталь.рф/search.html?article=682HYC001","682HYC001")</f>
        <v>682HYC001</v>
      </c>
      <c r="D2433" t="s">
        <v>4</v>
      </c>
    </row>
    <row r="2434" spans="1:4" x14ac:dyDescent="0.25">
      <c r="A2434" t="s">
        <v>355</v>
      </c>
      <c r="B2434" s="2" t="s">
        <v>355</v>
      </c>
      <c r="C2434" s="2"/>
      <c r="D2434" s="2"/>
    </row>
    <row r="2435" spans="1:4" outlineLevel="1" x14ac:dyDescent="0.25">
      <c r="A2435" t="s">
        <v>355</v>
      </c>
      <c r="B2435" t="s">
        <v>1</v>
      </c>
      <c r="C2435" s="1" t="str">
        <f>HYPERLINK("http://продеталь.рф/search.html?article=HN20008A","HN20008A")</f>
        <v>HN20008A</v>
      </c>
      <c r="D2435" t="s">
        <v>2</v>
      </c>
    </row>
    <row r="2436" spans="1:4" x14ac:dyDescent="0.25">
      <c r="A2436" t="s">
        <v>356</v>
      </c>
      <c r="B2436" s="2" t="s">
        <v>356</v>
      </c>
      <c r="C2436" s="2"/>
      <c r="D2436" s="2"/>
    </row>
    <row r="2437" spans="1:4" outlineLevel="1" x14ac:dyDescent="0.25">
      <c r="A2437" t="s">
        <v>356</v>
      </c>
      <c r="B2437" t="s">
        <v>11</v>
      </c>
      <c r="C2437" s="1" t="str">
        <f>HYPERLINK("http://продеталь.рф/search.html?article=HN27000A0","HN27000A0")</f>
        <v>HN27000A0</v>
      </c>
      <c r="D2437" t="s">
        <v>9</v>
      </c>
    </row>
    <row r="2438" spans="1:4" outlineLevel="1" x14ac:dyDescent="0.25">
      <c r="A2438" t="s">
        <v>356</v>
      </c>
      <c r="B2438" t="s">
        <v>159</v>
      </c>
      <c r="C2438" s="1" t="str">
        <f>HYPERLINK("http://продеталь.рф/search.html?article=HN273930","HN273930")</f>
        <v>HN273930</v>
      </c>
      <c r="D2438" t="s">
        <v>9</v>
      </c>
    </row>
    <row r="2439" spans="1:4" outlineLevel="1" x14ac:dyDescent="0.25">
      <c r="A2439" t="s">
        <v>356</v>
      </c>
      <c r="B2439" t="s">
        <v>1</v>
      </c>
      <c r="C2439" s="1" t="str">
        <f>HYPERLINK("http://продеталь.рф/search.html?article=HN270150","HN270150")</f>
        <v>HN270150</v>
      </c>
      <c r="D2439" t="s">
        <v>9</v>
      </c>
    </row>
    <row r="2440" spans="1:4" outlineLevel="1" x14ac:dyDescent="0.25">
      <c r="A2440" t="s">
        <v>356</v>
      </c>
      <c r="B2440" t="s">
        <v>5</v>
      </c>
      <c r="C2440" s="1" t="str">
        <f>HYPERLINK("http://продеталь.рф/search.html?article=HN27016L2","HN27016L2")</f>
        <v>HN27016L2</v>
      </c>
      <c r="D2440" t="s">
        <v>9</v>
      </c>
    </row>
    <row r="2441" spans="1:4" outlineLevel="1" x14ac:dyDescent="0.25">
      <c r="A2441" t="s">
        <v>356</v>
      </c>
      <c r="B2441" t="s">
        <v>13</v>
      </c>
      <c r="C2441" s="1" t="str">
        <f>HYPERLINK("http://продеталь.рф/search.html?article=HN27000R0","HN27000R0")</f>
        <v>HN27000R0</v>
      </c>
      <c r="D2441" t="s">
        <v>9</v>
      </c>
    </row>
    <row r="2442" spans="1:4" x14ac:dyDescent="0.25">
      <c r="A2442" t="s">
        <v>357</v>
      </c>
      <c r="B2442" s="2" t="s">
        <v>357</v>
      </c>
      <c r="C2442" s="2"/>
      <c r="D2442" s="2"/>
    </row>
    <row r="2443" spans="1:4" outlineLevel="1" x14ac:dyDescent="0.25">
      <c r="A2443" t="s">
        <v>357</v>
      </c>
      <c r="B2443" t="s">
        <v>11</v>
      </c>
      <c r="C2443" s="1" t="str">
        <f>HYPERLINK("http://продеталь.рф/search.html?article=PHN04049BA","PHN04049BA")</f>
        <v>PHN04049BA</v>
      </c>
      <c r="D2443" t="s">
        <v>6</v>
      </c>
    </row>
    <row r="2444" spans="1:4" outlineLevel="1" x14ac:dyDescent="0.25">
      <c r="A2444" t="s">
        <v>357</v>
      </c>
      <c r="B2444" t="s">
        <v>27</v>
      </c>
      <c r="C2444" s="1" t="str">
        <f>HYPERLINK("http://продеталь.рф/search.html?article=PHN30018A","PHN30018A")</f>
        <v>PHN30018A</v>
      </c>
      <c r="D2444" t="s">
        <v>6</v>
      </c>
    </row>
    <row r="2445" spans="1:4" outlineLevel="1" x14ac:dyDescent="0.25">
      <c r="A2445" t="s">
        <v>357</v>
      </c>
      <c r="B2445" t="s">
        <v>19</v>
      </c>
      <c r="C2445" s="1" t="str">
        <f>HYPERLINK("http://продеталь.рф/search.html?article=HN27219SA2","HN27219SA2")</f>
        <v>HN27219SA2</v>
      </c>
      <c r="D2445" t="s">
        <v>9</v>
      </c>
    </row>
    <row r="2446" spans="1:4" outlineLevel="1" x14ac:dyDescent="0.25">
      <c r="A2446" t="s">
        <v>357</v>
      </c>
      <c r="B2446" t="s">
        <v>19</v>
      </c>
      <c r="C2446" s="1" t="str">
        <f>HYPERLINK("http://продеталь.рф/search.html?article=HN27219SA1","HN27219SA1")</f>
        <v>HN27219SA1</v>
      </c>
      <c r="D2446" t="s">
        <v>9</v>
      </c>
    </row>
    <row r="2447" spans="1:4" outlineLevel="1" x14ac:dyDescent="0.25">
      <c r="A2447" t="s">
        <v>357</v>
      </c>
      <c r="B2447" t="s">
        <v>64</v>
      </c>
      <c r="C2447" s="1" t="str">
        <f>HYPERLINK("http://продеталь.рф/search.html?article=125165001A","125165001A")</f>
        <v>125165001A</v>
      </c>
      <c r="D2447" t="s">
        <v>4</v>
      </c>
    </row>
    <row r="2448" spans="1:4" outlineLevel="1" x14ac:dyDescent="0.25">
      <c r="A2448" t="s">
        <v>357</v>
      </c>
      <c r="B2448" t="s">
        <v>13</v>
      </c>
      <c r="C2448" s="1" t="str">
        <f>HYPERLINK("http://продеталь.рф/search.html?article=GD5002B","GD5002B")</f>
        <v>GD5002B</v>
      </c>
      <c r="D2448" t="s">
        <v>2</v>
      </c>
    </row>
    <row r="2449" spans="1:4" x14ac:dyDescent="0.25">
      <c r="A2449" t="s">
        <v>358</v>
      </c>
      <c r="B2449" s="2" t="s">
        <v>358</v>
      </c>
      <c r="C2449" s="2"/>
      <c r="D2449" s="2"/>
    </row>
    <row r="2450" spans="1:4" outlineLevel="1" x14ac:dyDescent="0.25">
      <c r="A2450" t="s">
        <v>358</v>
      </c>
      <c r="B2450" t="s">
        <v>11</v>
      </c>
      <c r="C2450" s="1" t="str">
        <f>HYPERLINK("http://продеталь.рф/search.html?article=HN04067BB","HN04067BB")</f>
        <v>HN04067BB</v>
      </c>
      <c r="D2450" t="s">
        <v>9</v>
      </c>
    </row>
    <row r="2451" spans="1:4" outlineLevel="1" x14ac:dyDescent="0.25">
      <c r="A2451" t="s">
        <v>358</v>
      </c>
      <c r="B2451" t="s">
        <v>35</v>
      </c>
      <c r="C2451" s="1" t="str">
        <f>HYPERLINK("http://продеталь.рф/search.html?article=HN27102500R00","HN27102500R00")</f>
        <v>HN27102500R00</v>
      </c>
      <c r="D2451" t="s">
        <v>9</v>
      </c>
    </row>
    <row r="2452" spans="1:4" outlineLevel="1" x14ac:dyDescent="0.25">
      <c r="A2452" t="s">
        <v>358</v>
      </c>
      <c r="B2452" t="s">
        <v>3</v>
      </c>
      <c r="C2452" s="1" t="str">
        <f>HYPERLINK("http://продеталь.рф/search.html?article=206812001A","206812001A")</f>
        <v>206812001A</v>
      </c>
      <c r="D2452" t="s">
        <v>4</v>
      </c>
    </row>
    <row r="2453" spans="1:4" outlineLevel="1" x14ac:dyDescent="0.25">
      <c r="A2453" t="s">
        <v>358</v>
      </c>
      <c r="B2453" t="s">
        <v>3</v>
      </c>
      <c r="C2453" s="1" t="str">
        <f>HYPERLINK("http://продеталь.рф/search.html?article=206811001A","206811001A")</f>
        <v>206811001A</v>
      </c>
      <c r="D2453" t="s">
        <v>4</v>
      </c>
    </row>
    <row r="2454" spans="1:4" outlineLevel="1" x14ac:dyDescent="0.25">
      <c r="A2454" t="s">
        <v>358</v>
      </c>
      <c r="B2454" t="s">
        <v>5</v>
      </c>
      <c r="C2454" s="1" t="str">
        <f>HYPERLINK("http://продеталь.рф/search.html?article=HN271016L0L00","HN271016L0L00")</f>
        <v>HN271016L0L00</v>
      </c>
      <c r="D2454" t="s">
        <v>9</v>
      </c>
    </row>
    <row r="2455" spans="1:4" outlineLevel="1" x14ac:dyDescent="0.25">
      <c r="A2455" t="s">
        <v>358</v>
      </c>
      <c r="B2455" t="s">
        <v>5</v>
      </c>
      <c r="C2455" s="1" t="str">
        <f>HYPERLINK("http://продеталь.рф/search.html?article=HN271016L0R00","HN271016L0R00")</f>
        <v>HN271016L0R00</v>
      </c>
      <c r="D2455" t="s">
        <v>9</v>
      </c>
    </row>
    <row r="2456" spans="1:4" outlineLevel="1" x14ac:dyDescent="0.25">
      <c r="A2456" t="s">
        <v>358</v>
      </c>
      <c r="B2456" t="s">
        <v>19</v>
      </c>
      <c r="C2456" s="1" t="str">
        <f>HYPERLINK("http://продеталь.рф/search.html?article=195910001A","195910001A")</f>
        <v>195910001A</v>
      </c>
      <c r="D2456" t="s">
        <v>4</v>
      </c>
    </row>
    <row r="2457" spans="1:4" outlineLevel="1" x14ac:dyDescent="0.25">
      <c r="A2457" t="s">
        <v>358</v>
      </c>
      <c r="B2457" t="s">
        <v>19</v>
      </c>
      <c r="C2457" s="1" t="str">
        <f>HYPERLINK("http://продеталь.рф/search.html?article=195909001A","195909001A")</f>
        <v>195909001A</v>
      </c>
      <c r="D2457" t="s">
        <v>4</v>
      </c>
    </row>
    <row r="2458" spans="1:4" outlineLevel="1" x14ac:dyDescent="0.25">
      <c r="A2458" t="s">
        <v>358</v>
      </c>
      <c r="B2458" t="s">
        <v>13</v>
      </c>
      <c r="C2458" s="1" t="str">
        <f>HYPERLINK("http://продеталь.рф/search.html?article=HN271000R0000","HN271000R0000")</f>
        <v>HN271000R0000</v>
      </c>
      <c r="D2458" t="s">
        <v>9</v>
      </c>
    </row>
    <row r="2459" spans="1:4" outlineLevel="1" x14ac:dyDescent="0.25">
      <c r="A2459" t="s">
        <v>358</v>
      </c>
      <c r="B2459" t="s">
        <v>13</v>
      </c>
      <c r="C2459" s="1" t="str">
        <f>HYPERLINK("http://продеталь.рф/search.html?article=PHN44058A","PHN44058A")</f>
        <v>PHN44058A</v>
      </c>
      <c r="D2459" t="s">
        <v>6</v>
      </c>
    </row>
    <row r="2460" spans="1:4" x14ac:dyDescent="0.25">
      <c r="A2460" t="s">
        <v>359</v>
      </c>
      <c r="B2460" s="2" t="s">
        <v>359</v>
      </c>
      <c r="C2460" s="2"/>
      <c r="D2460" s="2"/>
    </row>
    <row r="2461" spans="1:4" outlineLevel="1" x14ac:dyDescent="0.25">
      <c r="A2461" t="s">
        <v>359</v>
      </c>
      <c r="B2461" t="s">
        <v>84</v>
      </c>
      <c r="C2461" s="1" t="str">
        <f>HYPERLINK("http://продеталь.рф/search.html?article=PHN43048AL","PHN43048AL")</f>
        <v>PHN43048AL</v>
      </c>
      <c r="D2461" t="s">
        <v>6</v>
      </c>
    </row>
    <row r="2462" spans="1:4" outlineLevel="1" x14ac:dyDescent="0.25">
      <c r="A2462" t="s">
        <v>359</v>
      </c>
      <c r="B2462" t="s">
        <v>84</v>
      </c>
      <c r="C2462" s="1" t="str">
        <f>HYPERLINK("http://продеталь.рф/search.html?article=PHN43048AR","PHN43048AR")</f>
        <v>PHN43048AR</v>
      </c>
      <c r="D2462" t="s">
        <v>6</v>
      </c>
    </row>
    <row r="2463" spans="1:4" outlineLevel="1" x14ac:dyDescent="0.25">
      <c r="A2463" t="s">
        <v>359</v>
      </c>
      <c r="B2463" t="s">
        <v>12</v>
      </c>
      <c r="C2463" s="1" t="str">
        <f>HYPERLINK("http://продеталь.рф/search.html?article=HN07058GA","HN07058GA")</f>
        <v>HN07058GA</v>
      </c>
      <c r="D2463" t="s">
        <v>2</v>
      </c>
    </row>
    <row r="2464" spans="1:4" outlineLevel="1" x14ac:dyDescent="0.25">
      <c r="A2464" t="s">
        <v>359</v>
      </c>
      <c r="B2464" t="s">
        <v>13</v>
      </c>
      <c r="C2464" s="1" t="str">
        <f>HYPERLINK("http://продеталь.рф/search.html?article=PHN44075A","PHN44075A")</f>
        <v>PHN44075A</v>
      </c>
      <c r="D2464" t="s">
        <v>6</v>
      </c>
    </row>
    <row r="2465" spans="1:4" x14ac:dyDescent="0.25">
      <c r="A2465" t="s">
        <v>360</v>
      </c>
      <c r="B2465" s="2" t="s">
        <v>360</v>
      </c>
      <c r="C2465" s="2"/>
      <c r="D2465" s="2"/>
    </row>
    <row r="2466" spans="1:4" outlineLevel="1" x14ac:dyDescent="0.25">
      <c r="A2466" t="s">
        <v>360</v>
      </c>
      <c r="B2466" t="s">
        <v>11</v>
      </c>
      <c r="C2466" s="1" t="str">
        <f>HYPERLINK("http://продеталь.рф/search.html?article=HN04043BA","HN04043BA")</f>
        <v>HN04043BA</v>
      </c>
      <c r="D2466" t="s">
        <v>2</v>
      </c>
    </row>
    <row r="2467" spans="1:4" outlineLevel="1" x14ac:dyDescent="0.25">
      <c r="A2467" t="s">
        <v>360</v>
      </c>
      <c r="B2467" t="s">
        <v>15</v>
      </c>
      <c r="C2467" s="1" t="str">
        <f>HYPERLINK("http://продеталь.рф/search.html?article=HN350941E2L00","HN350941E2L00")</f>
        <v>HN350941E2L00</v>
      </c>
      <c r="D2467" t="s">
        <v>9</v>
      </c>
    </row>
    <row r="2468" spans="1:4" outlineLevel="1" x14ac:dyDescent="0.25">
      <c r="A2468" t="s">
        <v>360</v>
      </c>
      <c r="B2468" t="s">
        <v>15</v>
      </c>
      <c r="C2468" s="1" t="str">
        <f>HYPERLINK("http://продеталь.рф/search.html?article=HN350941E2R00","HN350941E2R00")</f>
        <v>HN350941E2R00</v>
      </c>
      <c r="D2468" t="s">
        <v>9</v>
      </c>
    </row>
    <row r="2469" spans="1:4" outlineLevel="1" x14ac:dyDescent="0.25">
      <c r="A2469" t="s">
        <v>360</v>
      </c>
      <c r="B2469" t="s">
        <v>15</v>
      </c>
      <c r="C2469" s="1" t="str">
        <f>HYPERLINK("http://продеталь.рф/search.html?article=HN350941E0L00","HN350941E0L00")</f>
        <v>HN350941E0L00</v>
      </c>
      <c r="D2469" t="s">
        <v>9</v>
      </c>
    </row>
    <row r="2470" spans="1:4" outlineLevel="1" x14ac:dyDescent="0.25">
      <c r="A2470" t="s">
        <v>360</v>
      </c>
      <c r="B2470" t="s">
        <v>79</v>
      </c>
      <c r="C2470" s="1" t="str">
        <f>HYPERLINK("http://продеталь.рф/search.html?article=HN350040","HN350040")</f>
        <v>HN350040</v>
      </c>
      <c r="D2470" t="s">
        <v>9</v>
      </c>
    </row>
    <row r="2471" spans="1:4" outlineLevel="1" x14ac:dyDescent="0.25">
      <c r="A2471" t="s">
        <v>360</v>
      </c>
      <c r="B2471" t="s">
        <v>101</v>
      </c>
      <c r="C2471" s="1" t="str">
        <f>HYPERLINK("http://продеталь.рф/search.html?article=HN99004CA","HN99004CA")</f>
        <v>HN99004CA</v>
      </c>
      <c r="D2471" t="s">
        <v>2</v>
      </c>
    </row>
    <row r="2472" spans="1:4" outlineLevel="1" x14ac:dyDescent="0.25">
      <c r="A2472" t="s">
        <v>360</v>
      </c>
      <c r="B2472" t="s">
        <v>266</v>
      </c>
      <c r="C2472" s="1" t="str">
        <f>HYPERLINK("http://продеталь.рф/search.html?article=PHN07024GB","PHN07024GB")</f>
        <v>PHN07024GB</v>
      </c>
      <c r="D2472" t="s">
        <v>6</v>
      </c>
    </row>
    <row r="2473" spans="1:4" outlineLevel="1" x14ac:dyDescent="0.25">
      <c r="A2473" t="s">
        <v>360</v>
      </c>
      <c r="B2473" t="s">
        <v>3</v>
      </c>
      <c r="C2473" s="1" t="str">
        <f>HYPERLINK("http://продеталь.рф/search.html?article=20A4160015B3","20A4160015B3")</f>
        <v>20A4160015B3</v>
      </c>
      <c r="D2473" t="s">
        <v>4</v>
      </c>
    </row>
    <row r="2474" spans="1:4" outlineLevel="1" x14ac:dyDescent="0.25">
      <c r="A2474" t="s">
        <v>360</v>
      </c>
      <c r="B2474" t="s">
        <v>3</v>
      </c>
      <c r="C2474" s="1" t="str">
        <f>HYPERLINK("http://продеталь.рф/search.html?article=20A4150015B3","20A4150015B3")</f>
        <v>20A4150015B3</v>
      </c>
      <c r="D2474" t="s">
        <v>4</v>
      </c>
    </row>
    <row r="2475" spans="1:4" outlineLevel="1" x14ac:dyDescent="0.25">
      <c r="A2475" t="s">
        <v>360</v>
      </c>
      <c r="B2475" t="s">
        <v>5</v>
      </c>
      <c r="C2475" s="1" t="str">
        <f>HYPERLINK("http://продеталь.рф/search.html?article=HN35016L2","HN35016L2")</f>
        <v>HN35016L2</v>
      </c>
      <c r="D2475" t="s">
        <v>9</v>
      </c>
    </row>
    <row r="2476" spans="1:4" outlineLevel="1" x14ac:dyDescent="0.25">
      <c r="A2476" t="s">
        <v>360</v>
      </c>
      <c r="B2476" t="s">
        <v>5</v>
      </c>
      <c r="C2476" s="1" t="str">
        <f>HYPERLINK("http://продеталь.рф/search.html?article=HN35016L1","HN35016L1")</f>
        <v>HN35016L1</v>
      </c>
      <c r="D2476" t="s">
        <v>9</v>
      </c>
    </row>
    <row r="2477" spans="1:4" outlineLevel="1" x14ac:dyDescent="0.25">
      <c r="A2477" t="s">
        <v>360</v>
      </c>
      <c r="B2477" t="s">
        <v>28</v>
      </c>
      <c r="C2477" s="1" t="str">
        <f>HYPERLINK("http://продеталь.рф/search.html?article=4042081","4042081")</f>
        <v>4042081</v>
      </c>
      <c r="D2477" t="s">
        <v>81</v>
      </c>
    </row>
    <row r="2478" spans="1:4" outlineLevel="1" x14ac:dyDescent="0.25">
      <c r="A2478" t="s">
        <v>360</v>
      </c>
      <c r="B2478" t="s">
        <v>12</v>
      </c>
      <c r="C2478" s="1" t="str">
        <f>HYPERLINK("http://продеталь.рф/search.html?article=GD4728","GD4728")</f>
        <v>GD4728</v>
      </c>
      <c r="D2478" t="s">
        <v>2</v>
      </c>
    </row>
    <row r="2479" spans="1:4" outlineLevel="1" x14ac:dyDescent="0.25">
      <c r="A2479" t="s">
        <v>360</v>
      </c>
      <c r="B2479" t="s">
        <v>12</v>
      </c>
      <c r="C2479" s="1" t="str">
        <f>HYPERLINK("http://продеталь.рф/search.html?article=PHN07024G","PHN07024G")</f>
        <v>PHN07024G</v>
      </c>
      <c r="D2479" t="s">
        <v>6</v>
      </c>
    </row>
    <row r="2480" spans="1:4" outlineLevel="1" x14ac:dyDescent="0.25">
      <c r="A2480" t="s">
        <v>360</v>
      </c>
      <c r="B2480" t="s">
        <v>361</v>
      </c>
      <c r="C2480" s="1" t="str">
        <f>HYPERLINK("http://продеталь.рф/search.html?article=372HNR020","372HNR020")</f>
        <v>372HNR020</v>
      </c>
      <c r="D2480" t="s">
        <v>4</v>
      </c>
    </row>
    <row r="2481" spans="1:4" outlineLevel="1" x14ac:dyDescent="0.25">
      <c r="A2481" t="s">
        <v>360</v>
      </c>
      <c r="B2481" t="s">
        <v>13</v>
      </c>
      <c r="C2481" s="1" t="str">
        <f>HYPERLINK("http://продеталь.рф/search.html?article=HN35000R0","HN35000R0")</f>
        <v>HN35000R0</v>
      </c>
      <c r="D2481" t="s">
        <v>9</v>
      </c>
    </row>
    <row r="2482" spans="1:4" x14ac:dyDescent="0.25">
      <c r="A2482" t="s">
        <v>362</v>
      </c>
      <c r="B2482" s="2" t="s">
        <v>362</v>
      </c>
      <c r="C2482" s="2"/>
      <c r="D2482" s="2"/>
    </row>
    <row r="2483" spans="1:4" outlineLevel="1" x14ac:dyDescent="0.25">
      <c r="A2483" t="s">
        <v>362</v>
      </c>
      <c r="B2483" t="s">
        <v>11</v>
      </c>
      <c r="C2483" s="1" t="str">
        <f>HYPERLINK("http://продеталь.рф/search.html?article=HN36000000000","HN36000000000")</f>
        <v>HN36000000000</v>
      </c>
      <c r="D2483" t="s">
        <v>9</v>
      </c>
    </row>
    <row r="2484" spans="1:4" outlineLevel="1" x14ac:dyDescent="0.25">
      <c r="A2484" t="s">
        <v>362</v>
      </c>
      <c r="B2484" t="s">
        <v>11</v>
      </c>
      <c r="C2484" s="1" t="str">
        <f>HYPERLINK("http://продеталь.рф/search.html?article=HN36000001000","HN36000001000")</f>
        <v>HN36000001000</v>
      </c>
      <c r="D2484" t="s">
        <v>9</v>
      </c>
    </row>
    <row r="2485" spans="1:4" outlineLevel="1" x14ac:dyDescent="0.25">
      <c r="A2485" t="s">
        <v>362</v>
      </c>
      <c r="B2485" t="s">
        <v>11</v>
      </c>
      <c r="C2485" s="1" t="str">
        <f>HYPERLINK("http://продеталь.рф/search.html?article=305HNR051","305HNR051")</f>
        <v>305HNR051</v>
      </c>
      <c r="D2485" t="s">
        <v>4</v>
      </c>
    </row>
    <row r="2486" spans="1:4" outlineLevel="1" x14ac:dyDescent="0.25">
      <c r="A2486" t="s">
        <v>362</v>
      </c>
      <c r="B2486" t="s">
        <v>1</v>
      </c>
      <c r="C2486" s="1" t="str">
        <f>HYPERLINK("http://продеталь.рф/search.html?article=KBF2117110","KBF2117110")</f>
        <v>KBF2117110</v>
      </c>
      <c r="D2486" t="s">
        <v>2</v>
      </c>
    </row>
    <row r="2487" spans="1:4" outlineLevel="1" x14ac:dyDescent="0.25">
      <c r="A2487" t="s">
        <v>362</v>
      </c>
      <c r="B2487" t="s">
        <v>27</v>
      </c>
      <c r="C2487" s="1" t="str">
        <f>HYPERLINK("http://продеталь.рф/search.html?article=PHN30005B","PHN30005B")</f>
        <v>PHN30005B</v>
      </c>
      <c r="D2487" t="s">
        <v>6</v>
      </c>
    </row>
    <row r="2488" spans="1:4" outlineLevel="1" x14ac:dyDescent="0.25">
      <c r="A2488" t="s">
        <v>362</v>
      </c>
      <c r="B2488" t="s">
        <v>3</v>
      </c>
      <c r="C2488" s="1" t="str">
        <f>HYPERLINK("http://продеталь.рф/search.html?article=20B284052B","20B284052B")</f>
        <v>20B284052B</v>
      </c>
      <c r="D2488" t="s">
        <v>4</v>
      </c>
    </row>
    <row r="2489" spans="1:4" outlineLevel="1" x14ac:dyDescent="0.25">
      <c r="A2489" t="s">
        <v>362</v>
      </c>
      <c r="B2489" t="s">
        <v>13</v>
      </c>
      <c r="C2489" s="1" t="str">
        <f>HYPERLINK("http://продеталь.рф/search.html?article=PHN44055AS","PHN44055AS")</f>
        <v>PHN44055AS</v>
      </c>
      <c r="D2489" t="s">
        <v>6</v>
      </c>
    </row>
    <row r="2490" spans="1:4" x14ac:dyDescent="0.25">
      <c r="A2490" t="s">
        <v>363</v>
      </c>
      <c r="B2490" s="2" t="s">
        <v>363</v>
      </c>
      <c r="C2490" s="2"/>
      <c r="D2490" s="2"/>
    </row>
    <row r="2491" spans="1:4" outlineLevel="1" x14ac:dyDescent="0.25">
      <c r="A2491" t="s">
        <v>363</v>
      </c>
      <c r="B2491" t="s">
        <v>11</v>
      </c>
      <c r="C2491" s="1" t="str">
        <f>HYPERLINK("http://продеталь.рф/search.html?article=PHN04073BA","PHN04073BA")</f>
        <v>PHN04073BA</v>
      </c>
      <c r="D2491" t="s">
        <v>6</v>
      </c>
    </row>
    <row r="2492" spans="1:4" outlineLevel="1" x14ac:dyDescent="0.25">
      <c r="A2492" t="s">
        <v>363</v>
      </c>
      <c r="B2492" t="s">
        <v>15</v>
      </c>
      <c r="C2492" s="1" t="str">
        <f>HYPERLINK("http://продеталь.рф/search.html?article=HNM1024CLE","HNM1024CLE")</f>
        <v>HNM1024CLE</v>
      </c>
      <c r="D2492" t="s">
        <v>2</v>
      </c>
    </row>
    <row r="2493" spans="1:4" outlineLevel="1" x14ac:dyDescent="0.25">
      <c r="A2493" t="s">
        <v>363</v>
      </c>
      <c r="B2493" t="s">
        <v>15</v>
      </c>
      <c r="C2493" s="1" t="str">
        <f>HYPERLINK("http://продеталь.рф/search.html?article=HNM1024CRE","HNM1024CRE")</f>
        <v>HNM1024CRE</v>
      </c>
      <c r="D2493" t="s">
        <v>2</v>
      </c>
    </row>
    <row r="2494" spans="1:4" outlineLevel="1" x14ac:dyDescent="0.25">
      <c r="A2494" t="s">
        <v>363</v>
      </c>
      <c r="B2494" t="s">
        <v>35</v>
      </c>
      <c r="C2494" s="1" t="str">
        <f>HYPERLINK("http://продеталь.рф/search.html?article=PHN60018AR","PHN60018AR")</f>
        <v>PHN60018AR</v>
      </c>
      <c r="D2494" t="s">
        <v>6</v>
      </c>
    </row>
    <row r="2495" spans="1:4" outlineLevel="1" x14ac:dyDescent="0.25">
      <c r="A2495" t="s">
        <v>363</v>
      </c>
      <c r="B2495" t="s">
        <v>1</v>
      </c>
      <c r="C2495" s="1" t="str">
        <f>HYPERLINK("http://продеталь.рф/search.html?article=PHN20035A","PHN20035A")</f>
        <v>PHN20035A</v>
      </c>
      <c r="D2495" t="s">
        <v>6</v>
      </c>
    </row>
    <row r="2496" spans="1:4" outlineLevel="1" x14ac:dyDescent="0.25">
      <c r="A2496" t="s">
        <v>363</v>
      </c>
      <c r="B2496" t="s">
        <v>24</v>
      </c>
      <c r="C2496" s="1" t="str">
        <f>HYPERLINK("http://продеталь.рф/search.html?article=PHN10038AL","PHN10038AL")</f>
        <v>PHN10038AL</v>
      </c>
      <c r="D2496" t="s">
        <v>6</v>
      </c>
    </row>
    <row r="2497" spans="1:4" outlineLevel="1" x14ac:dyDescent="0.25">
      <c r="A2497" t="s">
        <v>363</v>
      </c>
      <c r="B2497" t="s">
        <v>266</v>
      </c>
      <c r="C2497" s="1" t="str">
        <f>HYPERLINK("http://продеталь.рф/search.html?article=PHN07056MA","PHN07056MA")</f>
        <v>PHN07056MA</v>
      </c>
      <c r="D2497" t="s">
        <v>6</v>
      </c>
    </row>
    <row r="2498" spans="1:4" outlineLevel="1" x14ac:dyDescent="0.25">
      <c r="A2498" t="s">
        <v>363</v>
      </c>
      <c r="B2498" t="s">
        <v>27</v>
      </c>
      <c r="C2498" s="1" t="str">
        <f>HYPERLINK("http://продеталь.рф/search.html?article=PHN30009A","PHN30009A")</f>
        <v>PHN30009A</v>
      </c>
      <c r="D2498" t="s">
        <v>6</v>
      </c>
    </row>
    <row r="2499" spans="1:4" outlineLevel="1" x14ac:dyDescent="0.25">
      <c r="A2499" t="s">
        <v>363</v>
      </c>
      <c r="B2499" t="s">
        <v>5</v>
      </c>
      <c r="C2499" s="1" t="str">
        <f>HYPERLINK("http://продеталь.рф/search.html?article=HN11038AL","HN11038AL")</f>
        <v>HN11038AL</v>
      </c>
      <c r="D2499" t="s">
        <v>2</v>
      </c>
    </row>
    <row r="2500" spans="1:4" outlineLevel="1" x14ac:dyDescent="0.25">
      <c r="A2500" t="s">
        <v>363</v>
      </c>
      <c r="B2500" t="s">
        <v>5</v>
      </c>
      <c r="C2500" s="1" t="str">
        <f>HYPERLINK("http://продеталь.рф/search.html?article=HN11038AR","HN11038AR")</f>
        <v>HN11038AR</v>
      </c>
      <c r="D2500" t="s">
        <v>2</v>
      </c>
    </row>
    <row r="2501" spans="1:4" outlineLevel="1" x14ac:dyDescent="0.25">
      <c r="A2501" t="s">
        <v>363</v>
      </c>
      <c r="B2501" t="s">
        <v>13</v>
      </c>
      <c r="C2501" s="1" t="str">
        <f>HYPERLINK("http://продеталь.рф/search.html?article=PHN44057A","PHN44057A")</f>
        <v>PHN44057A</v>
      </c>
      <c r="D2501" t="s">
        <v>6</v>
      </c>
    </row>
    <row r="2502" spans="1:4" x14ac:dyDescent="0.25">
      <c r="A2502" t="s">
        <v>364</v>
      </c>
      <c r="B2502" s="2" t="s">
        <v>364</v>
      </c>
      <c r="C2502" s="2"/>
      <c r="D2502" s="2"/>
    </row>
    <row r="2503" spans="1:4" outlineLevel="1" x14ac:dyDescent="0.25">
      <c r="A2503" t="s">
        <v>364</v>
      </c>
      <c r="B2503" t="s">
        <v>19</v>
      </c>
      <c r="C2503" s="1" t="str">
        <f>HYPERLINK("http://продеталь.рф/search.html?article=19A920012B","19A920012B")</f>
        <v>19A920012B</v>
      </c>
      <c r="D2503" t="s">
        <v>4</v>
      </c>
    </row>
    <row r="2504" spans="1:4" outlineLevel="1" x14ac:dyDescent="0.25">
      <c r="A2504" t="s">
        <v>364</v>
      </c>
      <c r="B2504" t="s">
        <v>19</v>
      </c>
      <c r="C2504" s="1" t="str">
        <f>HYPERLINK("http://продеталь.рф/search.html?article=19A919012B","19A919012B")</f>
        <v>19A919012B</v>
      </c>
      <c r="D2504" t="s">
        <v>4</v>
      </c>
    </row>
    <row r="2505" spans="1:4" x14ac:dyDescent="0.25">
      <c r="A2505" t="s">
        <v>365</v>
      </c>
      <c r="B2505" s="2" t="s">
        <v>365</v>
      </c>
      <c r="C2505" s="2"/>
      <c r="D2505" s="2"/>
    </row>
    <row r="2506" spans="1:4" outlineLevel="1" x14ac:dyDescent="0.25">
      <c r="A2506" t="s">
        <v>365</v>
      </c>
      <c r="B2506" t="s">
        <v>11</v>
      </c>
      <c r="C2506" s="1" t="str">
        <f>HYPERLINK("http://продеталь.рф/search.html?article=PHN04068BA","PHN04068BA")</f>
        <v>PHN04068BA</v>
      </c>
      <c r="D2506" t="s">
        <v>6</v>
      </c>
    </row>
    <row r="2507" spans="1:4" outlineLevel="1" x14ac:dyDescent="0.25">
      <c r="A2507" t="s">
        <v>365</v>
      </c>
      <c r="B2507" t="s">
        <v>24</v>
      </c>
      <c r="C2507" s="1" t="str">
        <f>HYPERLINK("http://продеталь.рф/search.html?article=GD99C77AL","GD99C77AL")</f>
        <v>GD99C77AL</v>
      </c>
      <c r="D2507" t="s">
        <v>36</v>
      </c>
    </row>
    <row r="2508" spans="1:4" outlineLevel="1" x14ac:dyDescent="0.25">
      <c r="A2508" t="s">
        <v>365</v>
      </c>
      <c r="B2508" t="s">
        <v>266</v>
      </c>
      <c r="C2508" s="1" t="str">
        <f>HYPERLINK("http://продеталь.рф/search.html?article=PHN07052MA","PHN07052MA")</f>
        <v>PHN07052MA</v>
      </c>
      <c r="D2508" t="s">
        <v>6</v>
      </c>
    </row>
    <row r="2509" spans="1:4" x14ac:dyDescent="0.25">
      <c r="A2509" t="s">
        <v>366</v>
      </c>
      <c r="B2509" s="2" t="s">
        <v>366</v>
      </c>
      <c r="C2509" s="2"/>
      <c r="D2509" s="2"/>
    </row>
    <row r="2510" spans="1:4" outlineLevel="1" x14ac:dyDescent="0.25">
      <c r="A2510" t="s">
        <v>366</v>
      </c>
      <c r="B2510" t="s">
        <v>40</v>
      </c>
      <c r="C2510" s="1" t="str">
        <f>HYPERLINK("http://продеталь.рф/search.html?article=HN07051GA","HN07051GA")</f>
        <v>HN07051GA</v>
      </c>
      <c r="D2510" t="s">
        <v>2</v>
      </c>
    </row>
    <row r="2511" spans="1:4" outlineLevel="1" x14ac:dyDescent="0.25">
      <c r="A2511" t="s">
        <v>366</v>
      </c>
      <c r="B2511" t="s">
        <v>12</v>
      </c>
      <c r="C2511" s="1" t="str">
        <f>HYPERLINK("http://продеталь.рф/search.html?article=HN07048GA","HN07048GA")</f>
        <v>HN07048GA</v>
      </c>
      <c r="D2511" t="s">
        <v>2</v>
      </c>
    </row>
    <row r="2512" spans="1:4" x14ac:dyDescent="0.25">
      <c r="A2512" t="s">
        <v>367</v>
      </c>
      <c r="B2512" s="2" t="s">
        <v>367</v>
      </c>
      <c r="C2512" s="2"/>
      <c r="D2512" s="2"/>
    </row>
    <row r="2513" spans="1:4" outlineLevel="1" x14ac:dyDescent="0.25">
      <c r="A2513" t="s">
        <v>367</v>
      </c>
      <c r="B2513" t="s">
        <v>12</v>
      </c>
      <c r="C2513" s="1" t="str">
        <f>HYPERLINK("http://продеталь.рф/search.html?article=HN55009300000","HN55009300000")</f>
        <v>HN55009300000</v>
      </c>
      <c r="D2513" t="s">
        <v>9</v>
      </c>
    </row>
    <row r="2514" spans="1:4" x14ac:dyDescent="0.25">
      <c r="A2514" t="s">
        <v>368</v>
      </c>
      <c r="B2514" s="2" t="s">
        <v>368</v>
      </c>
      <c r="C2514" s="2"/>
      <c r="D2514" s="2"/>
    </row>
    <row r="2515" spans="1:4" outlineLevel="1" x14ac:dyDescent="0.25">
      <c r="A2515" t="s">
        <v>368</v>
      </c>
      <c r="B2515" t="s">
        <v>11</v>
      </c>
      <c r="C2515" s="1" t="str">
        <f>HYPERLINK("http://продеталь.рф/search.html?article=HN450000","HN450000")</f>
        <v>HN450000</v>
      </c>
      <c r="D2515" t="s">
        <v>9</v>
      </c>
    </row>
    <row r="2516" spans="1:4" outlineLevel="1" x14ac:dyDescent="0.25">
      <c r="A2516" t="s">
        <v>368</v>
      </c>
      <c r="B2516" t="s">
        <v>11</v>
      </c>
      <c r="C2516" s="1" t="str">
        <f>HYPERLINK("http://продеталь.рф/search.html?article=PHN04010BAK","PHN04010BAK")</f>
        <v>PHN04010BAK</v>
      </c>
      <c r="D2516" t="s">
        <v>6</v>
      </c>
    </row>
    <row r="2517" spans="1:4" outlineLevel="1" x14ac:dyDescent="0.25">
      <c r="A2517" t="s">
        <v>368</v>
      </c>
      <c r="B2517" t="s">
        <v>24</v>
      </c>
      <c r="C2517" s="1" t="str">
        <f>HYPERLINK("http://продеталь.рф/search.html?article=HN45016A2","HN45016A2")</f>
        <v>HN45016A2</v>
      </c>
      <c r="D2517" t="s">
        <v>9</v>
      </c>
    </row>
    <row r="2518" spans="1:4" outlineLevel="1" x14ac:dyDescent="0.25">
      <c r="A2518" t="s">
        <v>368</v>
      </c>
      <c r="B2518" t="s">
        <v>24</v>
      </c>
      <c r="C2518" s="1" t="str">
        <f>HYPERLINK("http://продеталь.рф/search.html?article=HN45016A1","HN45016A1")</f>
        <v>HN45016A1</v>
      </c>
      <c r="D2518" t="s">
        <v>9</v>
      </c>
    </row>
    <row r="2519" spans="1:4" outlineLevel="1" x14ac:dyDescent="0.25">
      <c r="A2519" t="s">
        <v>368</v>
      </c>
      <c r="B2519" t="s">
        <v>5</v>
      </c>
      <c r="C2519" s="1" t="str">
        <f>HYPERLINK("http://продеталь.рф/search.html?article=PHN11025BR","PHN11025BR")</f>
        <v>PHN11025BR</v>
      </c>
      <c r="D2519" t="s">
        <v>6</v>
      </c>
    </row>
    <row r="2520" spans="1:4" outlineLevel="1" x14ac:dyDescent="0.25">
      <c r="A2520" t="s">
        <v>368</v>
      </c>
      <c r="B2520" t="s">
        <v>12</v>
      </c>
      <c r="C2520" s="1" t="str">
        <f>HYPERLINK("http://продеталь.рф/search.html?article=HN450930","HN450930")</f>
        <v>HN450930</v>
      </c>
      <c r="D2520" t="s">
        <v>9</v>
      </c>
    </row>
    <row r="2521" spans="1:4" x14ac:dyDescent="0.25">
      <c r="A2521" t="s">
        <v>369</v>
      </c>
      <c r="B2521" s="2" t="s">
        <v>369</v>
      </c>
      <c r="C2521" s="2"/>
      <c r="D2521" s="2"/>
    </row>
    <row r="2522" spans="1:4" outlineLevel="1" x14ac:dyDescent="0.25">
      <c r="A2522" t="s">
        <v>369</v>
      </c>
      <c r="B2522" t="s">
        <v>11</v>
      </c>
      <c r="C2522" s="1" t="str">
        <f>HYPERLINK("http://продеталь.рф/search.html?article=HN04038BB","HN04038BB")</f>
        <v>HN04038BB</v>
      </c>
      <c r="D2522" t="s">
        <v>2</v>
      </c>
    </row>
    <row r="2523" spans="1:4" outlineLevel="1" x14ac:dyDescent="0.25">
      <c r="A2523" t="s">
        <v>369</v>
      </c>
      <c r="B2523" t="s">
        <v>15</v>
      </c>
      <c r="C2523" s="1" t="str">
        <f>HYPERLINK("http://продеталь.рф/search.html?article=HNM1009AL","HNM1009AL")</f>
        <v>HNM1009AL</v>
      </c>
      <c r="D2523" t="s">
        <v>2</v>
      </c>
    </row>
    <row r="2524" spans="1:4" outlineLevel="1" x14ac:dyDescent="0.25">
      <c r="A2524" t="s">
        <v>369</v>
      </c>
      <c r="B2524" t="s">
        <v>15</v>
      </c>
      <c r="C2524" s="1" t="str">
        <f>HYPERLINK("http://продеталь.рф/search.html?article=HNM1009AR","HNM1009AR")</f>
        <v>HNM1009AR</v>
      </c>
      <c r="D2524" t="s">
        <v>2</v>
      </c>
    </row>
    <row r="2525" spans="1:4" outlineLevel="1" x14ac:dyDescent="0.25">
      <c r="A2525" t="s">
        <v>369</v>
      </c>
      <c r="B2525" t="s">
        <v>1</v>
      </c>
      <c r="C2525" s="1" t="str">
        <f>HYPERLINK("http://продеталь.рф/search.html?article=99A72","99A72")</f>
        <v>99A72</v>
      </c>
      <c r="D2525" t="s">
        <v>36</v>
      </c>
    </row>
    <row r="2526" spans="1:4" outlineLevel="1" x14ac:dyDescent="0.25">
      <c r="A2526" t="s">
        <v>369</v>
      </c>
      <c r="B2526" t="s">
        <v>147</v>
      </c>
      <c r="C2526" s="1" t="str">
        <f>HYPERLINK("http://продеталь.рф/search.html?article=17517000","17517000")</f>
        <v>17517000</v>
      </c>
      <c r="D2526" t="s">
        <v>4</v>
      </c>
    </row>
    <row r="2527" spans="1:4" outlineLevel="1" x14ac:dyDescent="0.25">
      <c r="A2527" t="s">
        <v>369</v>
      </c>
      <c r="B2527" t="s">
        <v>147</v>
      </c>
      <c r="C2527" s="1" t="str">
        <f>HYPERLINK("http://продеталь.рф/search.html?article=17516900","17516900")</f>
        <v>17516900</v>
      </c>
      <c r="D2527" t="s">
        <v>4</v>
      </c>
    </row>
    <row r="2528" spans="1:4" outlineLevel="1" x14ac:dyDescent="0.25">
      <c r="A2528" t="s">
        <v>369</v>
      </c>
      <c r="B2528" t="s">
        <v>27</v>
      </c>
      <c r="C2528" s="1" t="str">
        <f>HYPERLINK("http://продеталь.рф/search.html?article=HN65009U0","HN65009U0")</f>
        <v>HN65009U0</v>
      </c>
      <c r="D2528" t="s">
        <v>9</v>
      </c>
    </row>
    <row r="2529" spans="1:4" outlineLevel="1" x14ac:dyDescent="0.25">
      <c r="A2529" t="s">
        <v>369</v>
      </c>
      <c r="B2529" t="s">
        <v>3</v>
      </c>
      <c r="C2529" s="1" t="str">
        <f>HYPERLINK("http://продеталь.рф/search.html?article=206204001","206204001")</f>
        <v>206204001</v>
      </c>
      <c r="D2529" t="s">
        <v>4</v>
      </c>
    </row>
    <row r="2530" spans="1:4" outlineLevel="1" x14ac:dyDescent="0.25">
      <c r="A2530" t="s">
        <v>369</v>
      </c>
      <c r="B2530" t="s">
        <v>5</v>
      </c>
      <c r="C2530" s="1" t="str">
        <f>HYPERLINK("http://продеталь.рф/search.html?article=PHN11020AL","PHN11020AL")</f>
        <v>PHN11020AL</v>
      </c>
      <c r="D2530" t="s">
        <v>6</v>
      </c>
    </row>
    <row r="2531" spans="1:4" outlineLevel="1" x14ac:dyDescent="0.25">
      <c r="A2531" t="s">
        <v>369</v>
      </c>
      <c r="B2531" t="s">
        <v>19</v>
      </c>
      <c r="C2531" s="1" t="str">
        <f>HYPERLINK("http://продеталь.рф/search.html?article=195879059","195879059")</f>
        <v>195879059</v>
      </c>
      <c r="D2531" t="s">
        <v>4</v>
      </c>
    </row>
    <row r="2532" spans="1:4" outlineLevel="1" x14ac:dyDescent="0.25">
      <c r="A2532" t="s">
        <v>369</v>
      </c>
      <c r="B2532" t="s">
        <v>12</v>
      </c>
      <c r="C2532" s="1" t="str">
        <f>HYPERLINK("http://продеталь.рф/search.html?article=GD4753C","GD4753C")</f>
        <v>GD4753C</v>
      </c>
      <c r="D2532" t="s">
        <v>2</v>
      </c>
    </row>
    <row r="2533" spans="1:4" x14ac:dyDescent="0.25">
      <c r="A2533" t="s">
        <v>370</v>
      </c>
      <c r="B2533" s="2" t="s">
        <v>370</v>
      </c>
      <c r="C2533" s="2"/>
      <c r="D2533" s="2"/>
    </row>
    <row r="2534" spans="1:4" outlineLevel="1" x14ac:dyDescent="0.25">
      <c r="A2534" t="s">
        <v>370</v>
      </c>
      <c r="B2534" t="s">
        <v>11</v>
      </c>
      <c r="C2534" s="1" t="str">
        <f>HYPERLINK("http://продеталь.рф/search.html?article=HN660000","HN660000")</f>
        <v>HN660000</v>
      </c>
      <c r="D2534" t="s">
        <v>9</v>
      </c>
    </row>
    <row r="2535" spans="1:4" outlineLevel="1" x14ac:dyDescent="0.25">
      <c r="A2535" t="s">
        <v>370</v>
      </c>
      <c r="B2535" t="s">
        <v>11</v>
      </c>
      <c r="C2535" s="1" t="str">
        <f>HYPERLINK("http://продеталь.рф/search.html?article=HN65100002100","HN65100002100")</f>
        <v>HN65100002100</v>
      </c>
      <c r="D2535" t="s">
        <v>9</v>
      </c>
    </row>
    <row r="2536" spans="1:4" outlineLevel="1" x14ac:dyDescent="0.25">
      <c r="A2536" t="s">
        <v>370</v>
      </c>
      <c r="B2536" t="s">
        <v>159</v>
      </c>
      <c r="C2536" s="1" t="str">
        <f>HYPERLINK("http://продеталь.рф/search.html?article=HN61016A","HN61016A")</f>
        <v>HN61016A</v>
      </c>
      <c r="D2536" t="s">
        <v>2</v>
      </c>
    </row>
    <row r="2537" spans="1:4" outlineLevel="1" x14ac:dyDescent="0.25">
      <c r="A2537" t="s">
        <v>370</v>
      </c>
      <c r="B2537" t="s">
        <v>23</v>
      </c>
      <c r="C2537" s="1" t="str">
        <f>HYPERLINK("http://продеталь.рф/search.html?article=ZHN1938LK","ZHN1938LK")</f>
        <v>ZHN1938LK</v>
      </c>
      <c r="D2537" t="s">
        <v>6</v>
      </c>
    </row>
    <row r="2538" spans="1:4" outlineLevel="1" x14ac:dyDescent="0.25">
      <c r="A2538" t="s">
        <v>370</v>
      </c>
      <c r="B2538" t="s">
        <v>23</v>
      </c>
      <c r="C2538" s="1" t="str">
        <f>HYPERLINK("http://продеталь.рф/search.html?article=ZHN1938RK","ZHN1938RK")</f>
        <v>ZHN1938RK</v>
      </c>
      <c r="D2538" t="s">
        <v>6</v>
      </c>
    </row>
    <row r="2539" spans="1:4" outlineLevel="1" x14ac:dyDescent="0.25">
      <c r="A2539" t="s">
        <v>370</v>
      </c>
      <c r="B2539" t="s">
        <v>35</v>
      </c>
      <c r="C2539" s="1" t="str">
        <f>HYPERLINK("http://продеталь.рф/search.html?article=313500","313500")</f>
        <v>313500</v>
      </c>
      <c r="D2539" t="s">
        <v>21</v>
      </c>
    </row>
    <row r="2540" spans="1:4" outlineLevel="1" x14ac:dyDescent="0.25">
      <c r="A2540" t="s">
        <v>370</v>
      </c>
      <c r="B2540" t="s">
        <v>1</v>
      </c>
      <c r="C2540" s="1" t="str">
        <f>HYPERLINK("http://продеталь.рф/search.html?article=PHN20028A","PHN20028A")</f>
        <v>PHN20028A</v>
      </c>
      <c r="D2540" t="s">
        <v>6</v>
      </c>
    </row>
    <row r="2541" spans="1:4" outlineLevel="1" x14ac:dyDescent="0.25">
      <c r="A2541" t="s">
        <v>370</v>
      </c>
      <c r="B2541" t="s">
        <v>266</v>
      </c>
      <c r="C2541" s="1" t="str">
        <f>HYPERLINK("http://продеталь.рф/search.html?article=HN07054MA","HN07054MA")</f>
        <v>HN07054MA</v>
      </c>
      <c r="D2541" t="s">
        <v>2</v>
      </c>
    </row>
    <row r="2542" spans="1:4" outlineLevel="1" x14ac:dyDescent="0.25">
      <c r="A2542" t="s">
        <v>370</v>
      </c>
      <c r="B2542" t="s">
        <v>3</v>
      </c>
      <c r="C2542" s="1" t="str">
        <f>HYPERLINK("http://продеталь.рф/search.html?article=206808001","206808001")</f>
        <v>206808001</v>
      </c>
      <c r="D2542" t="s">
        <v>4</v>
      </c>
    </row>
    <row r="2543" spans="1:4" outlineLevel="1" x14ac:dyDescent="0.25">
      <c r="A2543" t="s">
        <v>370</v>
      </c>
      <c r="B2543" t="s">
        <v>3</v>
      </c>
      <c r="C2543" s="1" t="str">
        <f>HYPERLINK("http://продеталь.рф/search.html?article=206807001","206807001")</f>
        <v>206807001</v>
      </c>
      <c r="D2543" t="s">
        <v>4</v>
      </c>
    </row>
    <row r="2544" spans="1:4" outlineLevel="1" x14ac:dyDescent="0.25">
      <c r="A2544" t="s">
        <v>370</v>
      </c>
      <c r="B2544" t="s">
        <v>5</v>
      </c>
      <c r="C2544" s="1" t="str">
        <f>HYPERLINK("http://продеталь.рф/search.html?article=PHN11028AR","PHN11028AR")</f>
        <v>PHN11028AR</v>
      </c>
      <c r="D2544" t="s">
        <v>6</v>
      </c>
    </row>
    <row r="2545" spans="1:4" outlineLevel="1" x14ac:dyDescent="0.25">
      <c r="A2545" t="s">
        <v>370</v>
      </c>
      <c r="B2545" t="s">
        <v>5</v>
      </c>
      <c r="C2545" s="1" t="str">
        <f>HYPERLINK("http://продеталь.рф/search.html?article=PHN11028AL","PHN11028AL")</f>
        <v>PHN11028AL</v>
      </c>
      <c r="D2545" t="s">
        <v>6</v>
      </c>
    </row>
    <row r="2546" spans="1:4" outlineLevel="1" x14ac:dyDescent="0.25">
      <c r="A2546" t="s">
        <v>370</v>
      </c>
      <c r="B2546" t="s">
        <v>5</v>
      </c>
      <c r="C2546" s="1" t="str">
        <f>HYPERLINK("http://продеталь.рф/search.html?article=HN11028CR","HN11028CR")</f>
        <v>HN11028CR</v>
      </c>
      <c r="D2546" t="s">
        <v>2</v>
      </c>
    </row>
    <row r="2547" spans="1:4" outlineLevel="1" x14ac:dyDescent="0.25">
      <c r="A2547" t="s">
        <v>370</v>
      </c>
      <c r="B2547" t="s">
        <v>28</v>
      </c>
      <c r="C2547" s="1" t="str">
        <f>HYPERLINK("http://продеталь.рф/search.html?article=RA67506","RA67506")</f>
        <v>RA67506</v>
      </c>
      <c r="D2547" t="s">
        <v>6</v>
      </c>
    </row>
    <row r="2548" spans="1:4" outlineLevel="1" x14ac:dyDescent="0.25">
      <c r="A2548" t="s">
        <v>370</v>
      </c>
      <c r="B2548" t="s">
        <v>40</v>
      </c>
      <c r="C2548" s="1" t="str">
        <f>HYPERLINK("http://продеталь.рф/search.html?article=HN07047GA","HN07047GA")</f>
        <v>HN07047GA</v>
      </c>
      <c r="D2548" t="s">
        <v>2</v>
      </c>
    </row>
    <row r="2549" spans="1:4" outlineLevel="1" x14ac:dyDescent="0.25">
      <c r="A2549" t="s">
        <v>370</v>
      </c>
      <c r="B2549" t="s">
        <v>12</v>
      </c>
      <c r="C2549" s="1" t="str">
        <f>HYPERLINK("http://продеталь.рф/search.html?article=GD4753B","GD4753B")</f>
        <v>GD4753B</v>
      </c>
      <c r="D2549" t="s">
        <v>2</v>
      </c>
    </row>
    <row r="2550" spans="1:4" x14ac:dyDescent="0.25">
      <c r="A2550" t="s">
        <v>371</v>
      </c>
      <c r="B2550" s="2" t="s">
        <v>371</v>
      </c>
      <c r="C2550" s="2"/>
      <c r="D2550" s="2"/>
    </row>
    <row r="2551" spans="1:4" outlineLevel="1" x14ac:dyDescent="0.25">
      <c r="A2551" t="s">
        <v>371</v>
      </c>
      <c r="B2551" t="s">
        <v>11</v>
      </c>
      <c r="C2551" s="1" t="str">
        <f>HYPERLINK("http://продеталь.рф/search.html?article=HN04200000100","HN04200000100")</f>
        <v>HN04200000100</v>
      </c>
      <c r="D2551" t="s">
        <v>9</v>
      </c>
    </row>
    <row r="2552" spans="1:4" outlineLevel="1" x14ac:dyDescent="0.25">
      <c r="A2552" t="s">
        <v>371</v>
      </c>
      <c r="B2552" t="s">
        <v>11</v>
      </c>
      <c r="C2552" s="1" t="str">
        <f>HYPERLINK("http://продеталь.рф/search.html?article=PHN04102BAR","PHN04102BAR")</f>
        <v>PHN04102BAR</v>
      </c>
      <c r="D2552" t="s">
        <v>6</v>
      </c>
    </row>
    <row r="2553" spans="1:4" outlineLevel="1" x14ac:dyDescent="0.25">
      <c r="A2553" t="s">
        <v>371</v>
      </c>
      <c r="B2553" t="s">
        <v>23</v>
      </c>
      <c r="C2553" s="1" t="str">
        <f>HYPERLINK("http://продеталь.рф/search.html?article=11B921012B","11B921012B")</f>
        <v>11B921012B</v>
      </c>
      <c r="D2553" t="s">
        <v>4</v>
      </c>
    </row>
    <row r="2554" spans="1:4" outlineLevel="1" x14ac:dyDescent="0.25">
      <c r="A2554" t="s">
        <v>371</v>
      </c>
      <c r="B2554" t="s">
        <v>23</v>
      </c>
      <c r="C2554" s="1" t="str">
        <f>HYPERLINK("http://продеталь.рф/search.html?article=ZHN1949LK","ZHN1949LK")</f>
        <v>ZHN1949LK</v>
      </c>
      <c r="D2554" t="s">
        <v>6</v>
      </c>
    </row>
    <row r="2555" spans="1:4" outlineLevel="1" x14ac:dyDescent="0.25">
      <c r="A2555" t="s">
        <v>371</v>
      </c>
      <c r="B2555" t="s">
        <v>23</v>
      </c>
      <c r="C2555" s="1" t="str">
        <f>HYPERLINK("http://продеталь.рф/search.html?article=ZHN1949RK","ZHN1949RK")</f>
        <v>ZHN1949RK</v>
      </c>
      <c r="D2555" t="s">
        <v>6</v>
      </c>
    </row>
    <row r="2556" spans="1:4" outlineLevel="1" x14ac:dyDescent="0.25">
      <c r="A2556" t="s">
        <v>371</v>
      </c>
      <c r="B2556" t="s">
        <v>103</v>
      </c>
      <c r="C2556" s="1" t="str">
        <f>HYPERLINK("http://продеталь.рф/search.html?article=316HN0020","316HN0020")</f>
        <v>316HN0020</v>
      </c>
      <c r="D2556" t="s">
        <v>4</v>
      </c>
    </row>
    <row r="2557" spans="1:4" outlineLevel="1" x14ac:dyDescent="0.25">
      <c r="A2557" t="s">
        <v>371</v>
      </c>
      <c r="B2557" t="s">
        <v>103</v>
      </c>
      <c r="C2557" s="1" t="str">
        <f>HYPERLINK("http://продеталь.рф/search.html?article=316HN0019","316HN0019")</f>
        <v>316HN0019</v>
      </c>
      <c r="D2557" t="s">
        <v>4</v>
      </c>
    </row>
    <row r="2558" spans="1:4" outlineLevel="1" x14ac:dyDescent="0.25">
      <c r="A2558" t="s">
        <v>371</v>
      </c>
      <c r="B2558" t="s">
        <v>27</v>
      </c>
      <c r="C2558" s="1" t="str">
        <f>HYPERLINK("http://продеталь.рф/search.html?article=PHN30029A","PHN30029A")</f>
        <v>PHN30029A</v>
      </c>
      <c r="D2558" t="s">
        <v>6</v>
      </c>
    </row>
    <row r="2559" spans="1:4" outlineLevel="1" x14ac:dyDescent="0.25">
      <c r="A2559" t="s">
        <v>371</v>
      </c>
      <c r="B2559" t="s">
        <v>71</v>
      </c>
      <c r="C2559" s="1" t="str">
        <f>HYPERLINK("http://продеталь.рф/search.html?article=HN05008VA","HN05008VA")</f>
        <v>HN05008VA</v>
      </c>
      <c r="D2559" t="s">
        <v>2</v>
      </c>
    </row>
    <row r="2560" spans="1:4" outlineLevel="1" x14ac:dyDescent="0.25">
      <c r="A2560" t="s">
        <v>371</v>
      </c>
      <c r="B2560" t="s">
        <v>13</v>
      </c>
      <c r="C2560" s="1" t="str">
        <f>HYPERLINK("http://продеталь.рф/search.html?article=PHN44052A","PHN44052A")</f>
        <v>PHN44052A</v>
      </c>
      <c r="D2560" t="s">
        <v>6</v>
      </c>
    </row>
    <row r="2561" spans="1:4" outlineLevel="1" x14ac:dyDescent="0.25">
      <c r="A2561" t="s">
        <v>371</v>
      </c>
      <c r="B2561" t="s">
        <v>115</v>
      </c>
      <c r="C2561" s="1" t="str">
        <f>HYPERLINK("http://продеталь.рф/search.html?article=HN042093S0R00","HN042093S0R00")</f>
        <v>HN042093S0R00</v>
      </c>
      <c r="D2561" t="s">
        <v>9</v>
      </c>
    </row>
    <row r="2562" spans="1:4" x14ac:dyDescent="0.25">
      <c r="A2562" t="s">
        <v>372</v>
      </c>
      <c r="B2562" s="2" t="s">
        <v>372</v>
      </c>
      <c r="C2562" s="2"/>
      <c r="D2562" s="2"/>
    </row>
    <row r="2563" spans="1:4" outlineLevel="1" x14ac:dyDescent="0.25">
      <c r="A2563" t="s">
        <v>372</v>
      </c>
      <c r="B2563" t="s">
        <v>11</v>
      </c>
      <c r="C2563" s="1" t="str">
        <f>HYPERLINK("http://продеталь.рф/search.html?article=PHN04045BA","PHN04045BA")</f>
        <v>PHN04045BA</v>
      </c>
      <c r="D2563" t="s">
        <v>6</v>
      </c>
    </row>
    <row r="2564" spans="1:4" outlineLevel="1" x14ac:dyDescent="0.25">
      <c r="A2564" t="s">
        <v>372</v>
      </c>
      <c r="B2564" t="s">
        <v>15</v>
      </c>
      <c r="C2564" s="1" t="str">
        <f>HYPERLINK("http://продеталь.рф/search.html?article=VHNM1000KAL","VHNM1000KAL")</f>
        <v>VHNM1000KAL</v>
      </c>
      <c r="D2564" t="s">
        <v>6</v>
      </c>
    </row>
    <row r="2565" spans="1:4" outlineLevel="1" x14ac:dyDescent="0.25">
      <c r="A2565" t="s">
        <v>372</v>
      </c>
      <c r="B2565" t="s">
        <v>15</v>
      </c>
      <c r="C2565" s="1" t="str">
        <f>HYPERLINK("http://продеталь.рф/search.html?article=VHNM1000KAR","VHNM1000KAR")</f>
        <v>VHNM1000KAR</v>
      </c>
      <c r="D2565" t="s">
        <v>6</v>
      </c>
    </row>
    <row r="2566" spans="1:4" outlineLevel="1" x14ac:dyDescent="0.25">
      <c r="A2566" t="s">
        <v>372</v>
      </c>
      <c r="B2566" t="s">
        <v>23</v>
      </c>
      <c r="C2566" s="1" t="str">
        <f>HYPERLINK("http://продеталь.рф/search.html?article=ZHN1922L","ZHN1922L")</f>
        <v>ZHN1922L</v>
      </c>
      <c r="D2566" t="s">
        <v>6</v>
      </c>
    </row>
    <row r="2567" spans="1:4" outlineLevel="1" x14ac:dyDescent="0.25">
      <c r="A2567" t="s">
        <v>372</v>
      </c>
      <c r="B2567" t="s">
        <v>23</v>
      </c>
      <c r="C2567" s="1" t="str">
        <f>HYPERLINK("http://продеталь.рф/search.html?article=ZHN1922R","ZHN1922R")</f>
        <v>ZHN1922R</v>
      </c>
      <c r="D2567" t="s">
        <v>6</v>
      </c>
    </row>
    <row r="2568" spans="1:4" outlineLevel="1" x14ac:dyDescent="0.25">
      <c r="A2568" t="s">
        <v>372</v>
      </c>
      <c r="B2568" t="s">
        <v>373</v>
      </c>
      <c r="C2568" s="1" t="str">
        <f>HYPERLINK("http://продеталь.рф/search.html?article=PHN22026A","PHN22026A")</f>
        <v>PHN22026A</v>
      </c>
      <c r="D2568" t="s">
        <v>6</v>
      </c>
    </row>
    <row r="2569" spans="1:4" outlineLevel="1" x14ac:dyDescent="0.25">
      <c r="A2569" t="s">
        <v>372</v>
      </c>
      <c r="B2569" t="s">
        <v>3</v>
      </c>
      <c r="C2569" s="1" t="str">
        <f>HYPERLINK("http://продеталь.рф/search.html?article=206384051A","206384051A")</f>
        <v>206384051A</v>
      </c>
      <c r="D2569" t="s">
        <v>4</v>
      </c>
    </row>
    <row r="2570" spans="1:4" outlineLevel="1" x14ac:dyDescent="0.25">
      <c r="A2570" t="s">
        <v>372</v>
      </c>
      <c r="B2570" t="s">
        <v>3</v>
      </c>
      <c r="C2570" s="1" t="str">
        <f>HYPERLINK("http://продеталь.рф/search.html?article=ZHN1128L","ZHN1128L")</f>
        <v>ZHN1128L</v>
      </c>
      <c r="D2570" t="s">
        <v>6</v>
      </c>
    </row>
    <row r="2571" spans="1:4" outlineLevel="1" x14ac:dyDescent="0.25">
      <c r="A2571" t="s">
        <v>372</v>
      </c>
      <c r="B2571" t="s">
        <v>19</v>
      </c>
      <c r="C2571" s="1" t="str">
        <f>HYPERLINK("http://продеталь.рф/search.html?article=ZHN2014KL","ZHN2014KL")</f>
        <v>ZHN2014KL</v>
      </c>
      <c r="D2571" t="s">
        <v>6</v>
      </c>
    </row>
    <row r="2572" spans="1:4" outlineLevel="1" x14ac:dyDescent="0.25">
      <c r="A2572" t="s">
        <v>372</v>
      </c>
      <c r="B2572" t="s">
        <v>12</v>
      </c>
      <c r="C2572" s="1" t="str">
        <f>HYPERLINK("http://продеталь.рф/search.html?article=PHN07015GA","PHN07015GA")</f>
        <v>PHN07015GA</v>
      </c>
      <c r="D2572" t="s">
        <v>6</v>
      </c>
    </row>
    <row r="2573" spans="1:4" outlineLevel="1" x14ac:dyDescent="0.25">
      <c r="A2573" t="s">
        <v>372</v>
      </c>
      <c r="B2573" t="s">
        <v>64</v>
      </c>
      <c r="C2573" s="1" t="str">
        <f>HYPERLINK("http://продеталь.рф/search.html?article=186002001A","186002001A")</f>
        <v>186002001A</v>
      </c>
      <c r="D2573" t="s">
        <v>4</v>
      </c>
    </row>
    <row r="2574" spans="1:4" outlineLevel="1" x14ac:dyDescent="0.25">
      <c r="A2574" t="s">
        <v>372</v>
      </c>
      <c r="B2574" t="s">
        <v>75</v>
      </c>
      <c r="C2574" s="1" t="str">
        <f>HYPERLINK("http://продеталь.рф/search.html?article=ZHN1405KL","ZHN1405KL")</f>
        <v>ZHN1405KL</v>
      </c>
      <c r="D2574" t="s">
        <v>6</v>
      </c>
    </row>
    <row r="2575" spans="1:4" outlineLevel="1" x14ac:dyDescent="0.25">
      <c r="A2575" t="s">
        <v>372</v>
      </c>
      <c r="B2575" t="s">
        <v>13</v>
      </c>
      <c r="C2575" s="1" t="str">
        <f>HYPERLINK("http://продеталь.рф/search.html?article=HN44039A","HN44039A")</f>
        <v>HN44039A</v>
      </c>
      <c r="D2575" t="s">
        <v>2</v>
      </c>
    </row>
    <row r="2576" spans="1:4" x14ac:dyDescent="0.25">
      <c r="A2576" t="s">
        <v>374</v>
      </c>
      <c r="B2576" s="2" t="s">
        <v>374</v>
      </c>
      <c r="C2576" s="2"/>
      <c r="D2576" s="2"/>
    </row>
    <row r="2577" spans="1:4" outlineLevel="1" x14ac:dyDescent="0.25">
      <c r="A2577" t="s">
        <v>374</v>
      </c>
      <c r="B2577" t="s">
        <v>11</v>
      </c>
      <c r="C2577" s="1" t="str">
        <f>HYPERLINK("http://продеталь.рф/search.html?article=HN24100000100","HN24100000100")</f>
        <v>HN24100000100</v>
      </c>
      <c r="D2577" t="s">
        <v>9</v>
      </c>
    </row>
    <row r="2578" spans="1:4" outlineLevel="1" x14ac:dyDescent="0.25">
      <c r="A2578" t="s">
        <v>374</v>
      </c>
      <c r="B2578" t="s">
        <v>15</v>
      </c>
      <c r="C2578" s="1" t="str">
        <f>HYPERLINK("http://продеталь.рф/search.html?article=388HND132TPL","388HND132TPL")</f>
        <v>388HND132TPL</v>
      </c>
      <c r="D2578" t="s">
        <v>4</v>
      </c>
    </row>
    <row r="2579" spans="1:4" outlineLevel="1" x14ac:dyDescent="0.25">
      <c r="A2579" t="s">
        <v>374</v>
      </c>
      <c r="B2579" t="s">
        <v>23</v>
      </c>
      <c r="C2579" s="1" t="str">
        <f>HYPERLINK("http://продеталь.рф/search.html?article=116347001A","116347001A")</f>
        <v>116347001A</v>
      </c>
      <c r="D2579" t="s">
        <v>4</v>
      </c>
    </row>
    <row r="2580" spans="1:4" outlineLevel="1" x14ac:dyDescent="0.25">
      <c r="A2580" t="s">
        <v>374</v>
      </c>
      <c r="B2580" t="s">
        <v>24</v>
      </c>
      <c r="C2580" s="1" t="str">
        <f>HYPERLINK("http://продеталь.рф/search.html?article=PHN10048AL","PHN10048AL")</f>
        <v>PHN10048AL</v>
      </c>
      <c r="D2580" t="s">
        <v>6</v>
      </c>
    </row>
    <row r="2581" spans="1:4" outlineLevel="1" x14ac:dyDescent="0.25">
      <c r="A2581" t="s">
        <v>374</v>
      </c>
      <c r="B2581" t="s">
        <v>24</v>
      </c>
      <c r="C2581" s="1" t="str">
        <f>HYPERLINK("http://продеталь.рф/search.html?article=PHN10048AR","PHN10048AR")</f>
        <v>PHN10048AR</v>
      </c>
      <c r="D2581" t="s">
        <v>6</v>
      </c>
    </row>
    <row r="2582" spans="1:4" outlineLevel="1" x14ac:dyDescent="0.25">
      <c r="A2582" t="s">
        <v>374</v>
      </c>
      <c r="B2582" t="s">
        <v>19</v>
      </c>
      <c r="C2582" s="1" t="str">
        <f>HYPERLINK("http://продеталь.рф/search.html?article=19A976009A","19A976009A")</f>
        <v>19A976009A</v>
      </c>
      <c r="D2582" t="s">
        <v>4</v>
      </c>
    </row>
    <row r="2583" spans="1:4" outlineLevel="1" x14ac:dyDescent="0.25">
      <c r="A2583" t="s">
        <v>374</v>
      </c>
      <c r="B2583" t="s">
        <v>19</v>
      </c>
      <c r="C2583" s="1" t="str">
        <f>HYPERLINK("http://продеталь.рф/search.html?article=19A975009A","19A975009A")</f>
        <v>19A975009A</v>
      </c>
      <c r="D2583" t="s">
        <v>4</v>
      </c>
    </row>
    <row r="2584" spans="1:4" outlineLevel="1" x14ac:dyDescent="0.25">
      <c r="A2584" t="s">
        <v>374</v>
      </c>
      <c r="B2584" t="s">
        <v>40</v>
      </c>
      <c r="C2584" s="1" t="str">
        <f>HYPERLINK("http://продеталь.рф/search.html?article=PHN99046GAL","PHN99046GAL")</f>
        <v>PHN99046GAL</v>
      </c>
      <c r="D2584" t="s">
        <v>6</v>
      </c>
    </row>
    <row r="2585" spans="1:4" outlineLevel="1" x14ac:dyDescent="0.25">
      <c r="A2585" t="s">
        <v>374</v>
      </c>
      <c r="B2585" t="s">
        <v>40</v>
      </c>
      <c r="C2585" s="1" t="str">
        <f>HYPERLINK("http://продеталь.рф/search.html?article=PHN99046GAR","PHN99046GAR")</f>
        <v>PHN99046GAR</v>
      </c>
      <c r="D2585" t="s">
        <v>6</v>
      </c>
    </row>
    <row r="2586" spans="1:4" x14ac:dyDescent="0.25">
      <c r="A2586" t="s">
        <v>375</v>
      </c>
      <c r="B2586" s="2" t="s">
        <v>375</v>
      </c>
      <c r="C2586" s="2"/>
      <c r="D2586" s="2"/>
    </row>
    <row r="2587" spans="1:4" outlineLevel="1" x14ac:dyDescent="0.25">
      <c r="A2587" t="s">
        <v>375</v>
      </c>
      <c r="B2587" t="s">
        <v>79</v>
      </c>
      <c r="C2587" s="1" t="str">
        <f>HYPERLINK("http://продеталь.рф/search.html?article=HN67015A","HN67015A")</f>
        <v>HN67015A</v>
      </c>
      <c r="D2587" t="s">
        <v>2</v>
      </c>
    </row>
    <row r="2588" spans="1:4" outlineLevel="1" x14ac:dyDescent="0.25">
      <c r="A2588" t="s">
        <v>375</v>
      </c>
      <c r="B2588" t="s">
        <v>23</v>
      </c>
      <c r="C2588" s="1" t="str">
        <f>HYPERLINK("http://продеталь.рф/search.html?article=ZHN1929TBL","ZHN1929TBL")</f>
        <v>ZHN1929TBL</v>
      </c>
      <c r="D2588" t="s">
        <v>6</v>
      </c>
    </row>
    <row r="2589" spans="1:4" outlineLevel="1" x14ac:dyDescent="0.25">
      <c r="A2589" t="s">
        <v>375</v>
      </c>
      <c r="B2589" t="s">
        <v>23</v>
      </c>
      <c r="C2589" s="1" t="str">
        <f>HYPERLINK("http://продеталь.рф/search.html?article=ZHN1929TBR","ZHN1929TBR")</f>
        <v>ZHN1929TBR</v>
      </c>
      <c r="D2589" t="s">
        <v>6</v>
      </c>
    </row>
    <row r="2590" spans="1:4" outlineLevel="1" x14ac:dyDescent="0.25">
      <c r="A2590" t="s">
        <v>375</v>
      </c>
      <c r="B2590" t="s">
        <v>84</v>
      </c>
      <c r="C2590" s="1" t="str">
        <f>HYPERLINK("http://продеталь.рф/search.html?article=HN240000U0L00","HN240000U0L00")</f>
        <v>HN240000U0L00</v>
      </c>
      <c r="D2590" t="s">
        <v>9</v>
      </c>
    </row>
    <row r="2591" spans="1:4" outlineLevel="1" x14ac:dyDescent="0.25">
      <c r="A2591" t="s">
        <v>375</v>
      </c>
      <c r="B2591" t="s">
        <v>24</v>
      </c>
      <c r="C2591" s="1" t="str">
        <f>HYPERLINK("http://продеталь.рф/search.html?article=GD99641L","GD99641L")</f>
        <v>GD99641L</v>
      </c>
      <c r="D2591" t="s">
        <v>2</v>
      </c>
    </row>
    <row r="2592" spans="1:4" outlineLevel="1" x14ac:dyDescent="0.25">
      <c r="A2592" t="s">
        <v>375</v>
      </c>
      <c r="B2592" t="s">
        <v>103</v>
      </c>
      <c r="C2592" s="1" t="str">
        <f>HYPERLINK("http://продеталь.рф/search.html?article=PHN99001CAR","PHN99001CAR")</f>
        <v>PHN99001CAR</v>
      </c>
      <c r="D2592" t="s">
        <v>6</v>
      </c>
    </row>
    <row r="2593" spans="1:4" outlineLevel="1" x14ac:dyDescent="0.25">
      <c r="A2593" t="s">
        <v>375</v>
      </c>
      <c r="B2593" t="s">
        <v>26</v>
      </c>
      <c r="C2593" s="1" t="str">
        <f>HYPERLINK("http://продеталь.рф/search.html?article=PHN07044MA","PHN07044MA")</f>
        <v>PHN07044MA</v>
      </c>
      <c r="D2593" t="s">
        <v>6</v>
      </c>
    </row>
    <row r="2594" spans="1:4" outlineLevel="1" x14ac:dyDescent="0.25">
      <c r="A2594" t="s">
        <v>375</v>
      </c>
      <c r="B2594" t="s">
        <v>19</v>
      </c>
      <c r="C2594" s="1" t="str">
        <f>HYPERLINK("http://продеталь.рф/search.html?article=195868001A","195868001A")</f>
        <v>195868001A</v>
      </c>
      <c r="D2594" t="s">
        <v>4</v>
      </c>
    </row>
    <row r="2595" spans="1:4" outlineLevel="1" x14ac:dyDescent="0.25">
      <c r="A2595" t="s">
        <v>375</v>
      </c>
      <c r="B2595" t="s">
        <v>19</v>
      </c>
      <c r="C2595" s="1" t="str">
        <f>HYPERLINK("http://продеталь.рф/search.html?article=195867001A","195867001A")</f>
        <v>195867001A</v>
      </c>
      <c r="D2595" t="s">
        <v>4</v>
      </c>
    </row>
    <row r="2596" spans="1:4" outlineLevel="1" x14ac:dyDescent="0.25">
      <c r="A2596" t="s">
        <v>375</v>
      </c>
      <c r="B2596" t="s">
        <v>12</v>
      </c>
      <c r="C2596" s="1" t="str">
        <f>HYPERLINK("http://продеталь.рф/search.html?article=HN07026GA","HN07026GA")</f>
        <v>HN07026GA</v>
      </c>
      <c r="D2596" t="s">
        <v>2</v>
      </c>
    </row>
    <row r="2597" spans="1:4" x14ac:dyDescent="0.25">
      <c r="A2597" t="s">
        <v>376</v>
      </c>
      <c r="B2597" s="2" t="s">
        <v>376</v>
      </c>
      <c r="C2597" s="2"/>
      <c r="D2597" s="2"/>
    </row>
    <row r="2598" spans="1:4" outlineLevel="1" x14ac:dyDescent="0.25">
      <c r="A2598" t="s">
        <v>376</v>
      </c>
      <c r="B2598" t="s">
        <v>11</v>
      </c>
      <c r="C2598" s="1" t="str">
        <f>HYPERLINK("http://продеталь.рф/search.html?article=HN04053BC","HN04053BC")</f>
        <v>HN04053BC</v>
      </c>
      <c r="D2598" t="s">
        <v>2</v>
      </c>
    </row>
    <row r="2599" spans="1:4" outlineLevel="1" x14ac:dyDescent="0.25">
      <c r="A2599" t="s">
        <v>376</v>
      </c>
      <c r="B2599" t="s">
        <v>15</v>
      </c>
      <c r="C2599" s="1" t="str">
        <f>HYPERLINK("http://продеталь.рф/search.html?article=388HND068TPU","388HND068TPU")</f>
        <v>388HND068TPU</v>
      </c>
      <c r="D2599" t="s">
        <v>4</v>
      </c>
    </row>
    <row r="2600" spans="1:4" outlineLevel="1" x14ac:dyDescent="0.25">
      <c r="A2600" t="s">
        <v>376</v>
      </c>
      <c r="B2600" t="s">
        <v>15</v>
      </c>
      <c r="C2600" s="1" t="str">
        <f>HYPERLINK("http://продеталь.рф/search.html?article=388HND067TPU","388HND067TPU")</f>
        <v>388HND067TPU</v>
      </c>
      <c r="D2600" t="s">
        <v>4</v>
      </c>
    </row>
    <row r="2601" spans="1:4" outlineLevel="1" x14ac:dyDescent="0.25">
      <c r="A2601" t="s">
        <v>376</v>
      </c>
      <c r="B2601" t="s">
        <v>79</v>
      </c>
      <c r="C2601" s="1" t="str">
        <f>HYPERLINK("http://продеталь.рф/search.html?article=HN500040","HN500040")</f>
        <v>HN500040</v>
      </c>
      <c r="D2601" t="s">
        <v>9</v>
      </c>
    </row>
    <row r="2602" spans="1:4" outlineLevel="1" x14ac:dyDescent="0.25">
      <c r="A2602" t="s">
        <v>376</v>
      </c>
      <c r="B2602" t="s">
        <v>79</v>
      </c>
      <c r="C2602" s="1" t="str">
        <f>HYPERLINK("http://продеталь.рф/search.html?article=RDHN50004A0","RDHN50004A0")</f>
        <v>RDHN50004A0</v>
      </c>
      <c r="D2602" t="s">
        <v>6</v>
      </c>
    </row>
    <row r="2603" spans="1:4" outlineLevel="1" x14ac:dyDescent="0.25">
      <c r="A2603" t="s">
        <v>376</v>
      </c>
      <c r="B2603" t="s">
        <v>35</v>
      </c>
      <c r="C2603" s="1" t="str">
        <f>HYPERLINK("http://продеталь.рф/search.html?article=313502","313502")</f>
        <v>313502</v>
      </c>
      <c r="D2603" t="s">
        <v>21</v>
      </c>
    </row>
    <row r="2604" spans="1:4" outlineLevel="1" x14ac:dyDescent="0.25">
      <c r="A2604" t="s">
        <v>376</v>
      </c>
      <c r="B2604" t="s">
        <v>1</v>
      </c>
      <c r="C2604" s="1" t="str">
        <f>HYPERLINK("http://продеталь.рф/search.html?article=HN20029A","HN20029A")</f>
        <v>HN20029A</v>
      </c>
      <c r="D2604" t="s">
        <v>2</v>
      </c>
    </row>
    <row r="2605" spans="1:4" outlineLevel="1" x14ac:dyDescent="0.25">
      <c r="A2605" t="s">
        <v>376</v>
      </c>
      <c r="B2605" t="s">
        <v>103</v>
      </c>
      <c r="C2605" s="1" t="str">
        <f>HYPERLINK("http://продеталь.рф/search.html?article=PHN99002CAR","PHN99002CAR")</f>
        <v>PHN99002CAR</v>
      </c>
      <c r="D2605" t="s">
        <v>6</v>
      </c>
    </row>
    <row r="2606" spans="1:4" outlineLevel="1" x14ac:dyDescent="0.25">
      <c r="A2606" t="s">
        <v>376</v>
      </c>
      <c r="B2606" t="s">
        <v>103</v>
      </c>
      <c r="C2606" s="1" t="str">
        <f>HYPERLINK("http://продеталь.рф/search.html?article=HN99002CAL","HN99002CAL")</f>
        <v>HN99002CAL</v>
      </c>
      <c r="D2606" t="s">
        <v>2</v>
      </c>
    </row>
    <row r="2607" spans="1:4" outlineLevel="1" x14ac:dyDescent="0.25">
      <c r="A2607" t="s">
        <v>376</v>
      </c>
      <c r="B2607" t="s">
        <v>3</v>
      </c>
      <c r="C2607" s="1" t="str">
        <f>HYPERLINK("http://продеталь.рф/search.html?article=ZHN1134L","ZHN1134L")</f>
        <v>ZHN1134L</v>
      </c>
      <c r="D2607" t="s">
        <v>6</v>
      </c>
    </row>
    <row r="2608" spans="1:4" outlineLevel="1" x14ac:dyDescent="0.25">
      <c r="A2608" t="s">
        <v>376</v>
      </c>
      <c r="B2608" t="s">
        <v>5</v>
      </c>
      <c r="C2608" s="1" t="str">
        <f>HYPERLINK("http://продеталь.рф/search.html?article=HN11029AL","HN11029AL")</f>
        <v>HN11029AL</v>
      </c>
      <c r="D2608" t="s">
        <v>2</v>
      </c>
    </row>
    <row r="2609" spans="1:4" outlineLevel="1" x14ac:dyDescent="0.25">
      <c r="A2609" t="s">
        <v>376</v>
      </c>
      <c r="B2609" t="s">
        <v>5</v>
      </c>
      <c r="C2609" s="1" t="str">
        <f>HYPERLINK("http://продеталь.рф/search.html?article=HN11029AR","HN11029AR")</f>
        <v>HN11029AR</v>
      </c>
      <c r="D2609" t="s">
        <v>2</v>
      </c>
    </row>
    <row r="2610" spans="1:4" outlineLevel="1" x14ac:dyDescent="0.25">
      <c r="A2610" t="s">
        <v>376</v>
      </c>
      <c r="B2610" t="s">
        <v>19</v>
      </c>
      <c r="C2610" s="1" t="str">
        <f>HYPERLINK("http://продеталь.рф/search.html?article=ZHN2012R","ZHN2012R")</f>
        <v>ZHN2012R</v>
      </c>
      <c r="D2610" t="s">
        <v>6</v>
      </c>
    </row>
    <row r="2611" spans="1:4" outlineLevel="1" x14ac:dyDescent="0.25">
      <c r="A2611" t="s">
        <v>376</v>
      </c>
      <c r="B2611" t="s">
        <v>8</v>
      </c>
      <c r="C2611" s="1" t="str">
        <f>HYPERLINK("http://продеталь.рф/search.html?article=RC94801","RC94801")</f>
        <v>RC94801</v>
      </c>
      <c r="D2611" t="s">
        <v>6</v>
      </c>
    </row>
    <row r="2612" spans="1:4" outlineLevel="1" x14ac:dyDescent="0.25">
      <c r="A2612" t="s">
        <v>376</v>
      </c>
      <c r="B2612" t="s">
        <v>40</v>
      </c>
      <c r="C2612" s="1" t="str">
        <f>HYPERLINK("http://продеталь.рф/search.html?article=HN50000G2","HN50000G2")</f>
        <v>HN50000G2</v>
      </c>
      <c r="D2612" t="s">
        <v>9</v>
      </c>
    </row>
    <row r="2613" spans="1:4" outlineLevel="1" x14ac:dyDescent="0.25">
      <c r="A2613" t="s">
        <v>376</v>
      </c>
      <c r="B2613" t="s">
        <v>40</v>
      </c>
      <c r="C2613" s="1" t="str">
        <f>HYPERLINK("http://продеталь.рф/search.html?article=HN50000G1","HN50000G1")</f>
        <v>HN50000G1</v>
      </c>
      <c r="D2613" t="s">
        <v>9</v>
      </c>
    </row>
    <row r="2614" spans="1:4" outlineLevel="1" x14ac:dyDescent="0.25">
      <c r="A2614" t="s">
        <v>376</v>
      </c>
      <c r="B2614" t="s">
        <v>12</v>
      </c>
      <c r="C2614" s="1" t="str">
        <f>HYPERLINK("http://продеталь.рф/search.html?article=HN500930","HN500930")</f>
        <v>HN500930</v>
      </c>
      <c r="D2614" t="s">
        <v>9</v>
      </c>
    </row>
    <row r="2615" spans="1:4" x14ac:dyDescent="0.25">
      <c r="A2615" t="s">
        <v>377</v>
      </c>
      <c r="B2615" s="2" t="s">
        <v>377</v>
      </c>
      <c r="C2615" s="2"/>
      <c r="D2615" s="2"/>
    </row>
    <row r="2616" spans="1:4" outlineLevel="1" x14ac:dyDescent="0.25">
      <c r="A2616" t="s">
        <v>377</v>
      </c>
      <c r="B2616" t="s">
        <v>11</v>
      </c>
      <c r="C2616" s="1" t="str">
        <f>HYPERLINK("http://продеталь.рф/search.html?article=PDS04264BB","PDS04264BB")</f>
        <v>PDS04264BB</v>
      </c>
      <c r="D2616" t="s">
        <v>6</v>
      </c>
    </row>
    <row r="2617" spans="1:4" outlineLevel="1" x14ac:dyDescent="0.25">
      <c r="A2617" t="s">
        <v>377</v>
      </c>
      <c r="B2617" t="s">
        <v>84</v>
      </c>
      <c r="C2617" s="1" t="str">
        <f>HYPERLINK("http://продеталь.рф/search.html?article=IN600022","IN600022")</f>
        <v>IN600022</v>
      </c>
      <c r="D2617" t="s">
        <v>9</v>
      </c>
    </row>
    <row r="2618" spans="1:4" outlineLevel="1" x14ac:dyDescent="0.25">
      <c r="A2618" t="s">
        <v>377</v>
      </c>
      <c r="B2618" t="s">
        <v>378</v>
      </c>
      <c r="C2618" s="1" t="str">
        <f>HYPERLINK("http://продеталь.рф/search.html?article=IN600162","IN600162")</f>
        <v>IN600162</v>
      </c>
      <c r="D2618" t="s">
        <v>9</v>
      </c>
    </row>
    <row r="2619" spans="1:4" outlineLevel="1" x14ac:dyDescent="0.25">
      <c r="A2619" t="s">
        <v>377</v>
      </c>
      <c r="B2619" t="s">
        <v>5</v>
      </c>
      <c r="C2619" s="1" t="str">
        <f>HYPERLINK("http://продеталь.рф/search.html?article=IN60016L2","IN60016L2")</f>
        <v>IN60016L2</v>
      </c>
      <c r="D2619" t="s">
        <v>9</v>
      </c>
    </row>
    <row r="2620" spans="1:4" outlineLevel="1" x14ac:dyDescent="0.25">
      <c r="A2620" t="s">
        <v>377</v>
      </c>
      <c r="B2620" t="s">
        <v>5</v>
      </c>
      <c r="C2620" s="1" t="str">
        <f>HYPERLINK("http://продеталь.рф/search.html?article=IN60016L1","IN60016L1")</f>
        <v>IN60016L1</v>
      </c>
      <c r="D2620" t="s">
        <v>9</v>
      </c>
    </row>
    <row r="2621" spans="1:4" x14ac:dyDescent="0.25">
      <c r="A2621" t="s">
        <v>379</v>
      </c>
      <c r="B2621" s="2" t="s">
        <v>379</v>
      </c>
      <c r="C2621" s="2"/>
      <c r="D2621" s="2"/>
    </row>
    <row r="2622" spans="1:4" outlineLevel="1" x14ac:dyDescent="0.25">
      <c r="A2622" t="s">
        <v>379</v>
      </c>
      <c r="B2622" t="s">
        <v>66</v>
      </c>
      <c r="C2622" s="1" t="str">
        <f>HYPERLINK("http://продеталь.рф/search.html?article=BK134","BK134")</f>
        <v>BK134</v>
      </c>
      <c r="D2622" t="s">
        <v>6</v>
      </c>
    </row>
    <row r="2623" spans="1:4" outlineLevel="1" x14ac:dyDescent="0.25">
      <c r="A2623" t="s">
        <v>379</v>
      </c>
      <c r="B2623" t="s">
        <v>27</v>
      </c>
      <c r="C2623" s="1" t="str">
        <f>HYPERLINK("http://продеталь.рф/search.html?article=IN40009A0","IN40009A0")</f>
        <v>IN40009A0</v>
      </c>
      <c r="D2623" t="s">
        <v>9</v>
      </c>
    </row>
    <row r="2624" spans="1:4" outlineLevel="1" x14ac:dyDescent="0.25">
      <c r="A2624" t="s">
        <v>379</v>
      </c>
      <c r="B2624" t="s">
        <v>5</v>
      </c>
      <c r="C2624" s="1" t="str">
        <f>HYPERLINK("http://продеталь.рф/search.html?article=IN40016LF1","IN40016LF1")</f>
        <v>IN40016LF1</v>
      </c>
      <c r="D2624" t="s">
        <v>9</v>
      </c>
    </row>
    <row r="2625" spans="1:4" outlineLevel="1" x14ac:dyDescent="0.25">
      <c r="A2625" t="s">
        <v>379</v>
      </c>
      <c r="B2625" t="s">
        <v>5</v>
      </c>
      <c r="C2625" s="1" t="str">
        <f>HYPERLINK("http://продеталь.рф/search.html?article=IN40016LF2","IN40016LF2")</f>
        <v>IN40016LF2</v>
      </c>
      <c r="D2625" t="s">
        <v>9</v>
      </c>
    </row>
    <row r="2626" spans="1:4" outlineLevel="1" x14ac:dyDescent="0.25">
      <c r="A2626" t="s">
        <v>379</v>
      </c>
      <c r="B2626" t="s">
        <v>13</v>
      </c>
      <c r="C2626" s="1" t="str">
        <f>HYPERLINK("http://продеталь.рф/search.html?article=DS44253A","DS44253A")</f>
        <v>DS44253A</v>
      </c>
      <c r="D2626" t="s">
        <v>2</v>
      </c>
    </row>
    <row r="2627" spans="1:4" x14ac:dyDescent="0.25">
      <c r="A2627" t="s">
        <v>380</v>
      </c>
      <c r="B2627" s="2" t="s">
        <v>380</v>
      </c>
      <c r="C2627" s="2"/>
      <c r="D2627" s="2"/>
    </row>
    <row r="2628" spans="1:4" outlineLevel="1" x14ac:dyDescent="0.25">
      <c r="A2628" t="s">
        <v>380</v>
      </c>
      <c r="B2628" t="s">
        <v>3</v>
      </c>
      <c r="C2628" s="1" t="str">
        <f>HYPERLINK("http://продеталь.рф/search.html?article=205425082","205425082")</f>
        <v>205425082</v>
      </c>
      <c r="D2628" t="s">
        <v>4</v>
      </c>
    </row>
    <row r="2629" spans="1:4" outlineLevel="1" x14ac:dyDescent="0.25">
      <c r="A2629" t="s">
        <v>380</v>
      </c>
      <c r="B2629" t="s">
        <v>3</v>
      </c>
      <c r="C2629" s="1" t="str">
        <f>HYPERLINK("http://продеталь.рф/search.html?article=205425182","205425182")</f>
        <v>205425182</v>
      </c>
      <c r="D2629" t="s">
        <v>4</v>
      </c>
    </row>
    <row r="2630" spans="1:4" x14ac:dyDescent="0.25">
      <c r="A2630" t="s">
        <v>381</v>
      </c>
      <c r="B2630" s="2" t="s">
        <v>381</v>
      </c>
      <c r="C2630" s="2"/>
      <c r="D2630" s="2"/>
    </row>
    <row r="2631" spans="1:4" outlineLevel="1" x14ac:dyDescent="0.25">
      <c r="A2631" t="s">
        <v>381</v>
      </c>
      <c r="B2631" t="s">
        <v>266</v>
      </c>
      <c r="C2631" s="1" t="str">
        <f>HYPERLINK("http://продеталь.рф/search.html?article=GD4313B","GD4313B")</f>
        <v>GD4313B</v>
      </c>
      <c r="D2631" t="s">
        <v>36</v>
      </c>
    </row>
    <row r="2632" spans="1:4" outlineLevel="1" x14ac:dyDescent="0.25">
      <c r="A2632" t="s">
        <v>381</v>
      </c>
      <c r="B2632" t="s">
        <v>12</v>
      </c>
      <c r="C2632" s="1" t="str">
        <f>HYPERLINK("http://продеталь.рф/search.html?article=GD4313A","GD4313A")</f>
        <v>GD4313A</v>
      </c>
      <c r="D2632" t="s">
        <v>36</v>
      </c>
    </row>
    <row r="2633" spans="1:4" x14ac:dyDescent="0.25">
      <c r="A2633" t="s">
        <v>382</v>
      </c>
      <c r="B2633" s="2" t="s">
        <v>382</v>
      </c>
      <c r="C2633" s="2"/>
      <c r="D2633" s="2"/>
    </row>
    <row r="2634" spans="1:4" outlineLevel="1" x14ac:dyDescent="0.25">
      <c r="A2634" t="s">
        <v>382</v>
      </c>
      <c r="B2634" t="s">
        <v>27</v>
      </c>
      <c r="C2634" s="1" t="str">
        <f>HYPERLINK("http://продеталь.рф/search.html?article=JP800030F","JP800030F")</f>
        <v>JP800030F</v>
      </c>
      <c r="D2634" t="s">
        <v>9</v>
      </c>
    </row>
    <row r="2635" spans="1:4" outlineLevel="1" x14ac:dyDescent="0.25">
      <c r="A2635" t="s">
        <v>382</v>
      </c>
      <c r="B2635" t="s">
        <v>3</v>
      </c>
      <c r="C2635" s="1" t="str">
        <f>HYPERLINK("http://продеталь.рф/search.html?article=205562052","205562052")</f>
        <v>205562052</v>
      </c>
      <c r="D2635" t="s">
        <v>4</v>
      </c>
    </row>
    <row r="2636" spans="1:4" outlineLevel="1" x14ac:dyDescent="0.25">
      <c r="A2636" t="s">
        <v>382</v>
      </c>
      <c r="B2636" t="s">
        <v>3</v>
      </c>
      <c r="C2636" s="1" t="str">
        <f>HYPERLINK("http://продеталь.рф/search.html?article=205561052","205561052")</f>
        <v>205561052</v>
      </c>
      <c r="D2636" t="s">
        <v>4</v>
      </c>
    </row>
    <row r="2637" spans="1:4" outlineLevel="1" x14ac:dyDescent="0.25">
      <c r="A2637" t="s">
        <v>382</v>
      </c>
      <c r="B2637" t="s">
        <v>12</v>
      </c>
      <c r="C2637" s="1" t="str">
        <f>HYPERLINK("http://продеталь.рф/search.html?article=PCR07010GA","PCR07010GA")</f>
        <v>PCR07010GA</v>
      </c>
      <c r="D2637" t="s">
        <v>6</v>
      </c>
    </row>
    <row r="2638" spans="1:4" x14ac:dyDescent="0.25">
      <c r="A2638" t="s">
        <v>383</v>
      </c>
      <c r="B2638" s="2" t="s">
        <v>383</v>
      </c>
      <c r="C2638" s="2"/>
      <c r="D2638" s="2"/>
    </row>
    <row r="2639" spans="1:4" outlineLevel="1" x14ac:dyDescent="0.25">
      <c r="A2639" t="s">
        <v>383</v>
      </c>
      <c r="B2639" t="s">
        <v>11</v>
      </c>
      <c r="C2639" s="1" t="str">
        <f>HYPERLINK("http://продеталь.рф/search.html?article=JP81000004000","JP81000004000")</f>
        <v>JP81000004000</v>
      </c>
      <c r="D2639" t="s">
        <v>9</v>
      </c>
    </row>
    <row r="2640" spans="1:4" outlineLevel="1" x14ac:dyDescent="0.25">
      <c r="A2640" t="s">
        <v>383</v>
      </c>
      <c r="B2640" t="s">
        <v>15</v>
      </c>
      <c r="C2640" s="1" t="str">
        <f>HYPERLINK("http://продеталь.рф/search.html?article=JP81941A2","JP81941A2")</f>
        <v>JP81941A2</v>
      </c>
      <c r="D2640" t="s">
        <v>9</v>
      </c>
    </row>
    <row r="2641" spans="1:4" outlineLevel="1" x14ac:dyDescent="0.25">
      <c r="A2641" t="s">
        <v>383</v>
      </c>
      <c r="B2641" t="s">
        <v>23</v>
      </c>
      <c r="C2641" s="1" t="str">
        <f>HYPERLINK("http://продеталь.рф/search.html?article=115276011A","115276011A")</f>
        <v>115276011A</v>
      </c>
      <c r="D2641" t="s">
        <v>4</v>
      </c>
    </row>
    <row r="2642" spans="1:4" outlineLevel="1" x14ac:dyDescent="0.25">
      <c r="A2642" t="s">
        <v>383</v>
      </c>
      <c r="B2642" t="s">
        <v>24</v>
      </c>
      <c r="C2642" s="1" t="str">
        <f>HYPERLINK("http://продеталь.рф/search.html?article=99443L","99443L")</f>
        <v>99443L</v>
      </c>
      <c r="D2642" t="s">
        <v>36</v>
      </c>
    </row>
    <row r="2643" spans="1:4" outlineLevel="1" x14ac:dyDescent="0.25">
      <c r="A2643" t="s">
        <v>383</v>
      </c>
      <c r="B2643" t="s">
        <v>24</v>
      </c>
      <c r="C2643" s="1" t="str">
        <f>HYPERLINK("http://продеталь.рф/search.html?article=99443R","99443R")</f>
        <v>99443R</v>
      </c>
      <c r="D2643" t="s">
        <v>36</v>
      </c>
    </row>
    <row r="2644" spans="1:4" outlineLevel="1" x14ac:dyDescent="0.25">
      <c r="A2644" t="s">
        <v>383</v>
      </c>
      <c r="B2644" t="s">
        <v>27</v>
      </c>
      <c r="C2644" s="1" t="str">
        <f>HYPERLINK("http://продеталь.рф/search.html?article=AM31008B","AM31008B")</f>
        <v>AM31008B</v>
      </c>
      <c r="D2644" t="s">
        <v>2</v>
      </c>
    </row>
    <row r="2645" spans="1:4" outlineLevel="1" x14ac:dyDescent="0.25">
      <c r="A2645" t="s">
        <v>383</v>
      </c>
      <c r="B2645" t="s">
        <v>3</v>
      </c>
      <c r="C2645" s="1" t="str">
        <f>HYPERLINK("http://продеталь.рф/search.html?article=205575011A","205575011A")</f>
        <v>205575011A</v>
      </c>
      <c r="D2645" t="s">
        <v>4</v>
      </c>
    </row>
    <row r="2646" spans="1:4" outlineLevel="1" x14ac:dyDescent="0.25">
      <c r="A2646" t="s">
        <v>383</v>
      </c>
      <c r="B2646" t="s">
        <v>3</v>
      </c>
      <c r="C2646" s="1" t="str">
        <f>HYPERLINK("http://продеталь.рф/search.html?article=205576011A","205576011A")</f>
        <v>205576011A</v>
      </c>
      <c r="D2646" t="s">
        <v>4</v>
      </c>
    </row>
    <row r="2647" spans="1:4" outlineLevel="1" x14ac:dyDescent="0.25">
      <c r="A2647" t="s">
        <v>383</v>
      </c>
      <c r="B2647" t="s">
        <v>3</v>
      </c>
      <c r="C2647" s="1" t="str">
        <f>HYPERLINK("http://продеталь.рф/search.html?article=205576A11A","205576A11A")</f>
        <v>205576A11A</v>
      </c>
      <c r="D2647" t="s">
        <v>4</v>
      </c>
    </row>
    <row r="2648" spans="1:4" outlineLevel="1" x14ac:dyDescent="0.25">
      <c r="A2648" t="s">
        <v>383</v>
      </c>
      <c r="B2648" t="s">
        <v>3</v>
      </c>
      <c r="C2648" s="1" t="str">
        <f>HYPERLINK("http://продеталь.рф/search.html?article=205575A11A","205575A11A")</f>
        <v>205575A11A</v>
      </c>
      <c r="D2648" t="s">
        <v>4</v>
      </c>
    </row>
    <row r="2649" spans="1:4" outlineLevel="1" x14ac:dyDescent="0.25">
      <c r="A2649" t="s">
        <v>383</v>
      </c>
      <c r="B2649" t="s">
        <v>5</v>
      </c>
      <c r="C2649" s="1" t="str">
        <f>HYPERLINK("http://продеталь.рф/search.html?article=AM11012AL","AM11012AL")</f>
        <v>AM11012AL</v>
      </c>
      <c r="D2649" t="s">
        <v>2</v>
      </c>
    </row>
    <row r="2650" spans="1:4" outlineLevel="1" x14ac:dyDescent="0.25">
      <c r="A2650" t="s">
        <v>383</v>
      </c>
      <c r="B2650" t="s">
        <v>5</v>
      </c>
      <c r="C2650" s="1" t="str">
        <f>HYPERLINK("http://продеталь.рф/search.html?article=AM11012AR","AM11012AR")</f>
        <v>AM11012AR</v>
      </c>
      <c r="D2650" t="s">
        <v>2</v>
      </c>
    </row>
    <row r="2651" spans="1:4" outlineLevel="1" x14ac:dyDescent="0.25">
      <c r="A2651" t="s">
        <v>383</v>
      </c>
      <c r="B2651" t="s">
        <v>19</v>
      </c>
      <c r="C2651" s="1" t="str">
        <f>HYPERLINK("http://продеталь.рф/search.html?article=195377011A","195377011A")</f>
        <v>195377011A</v>
      </c>
      <c r="D2651" t="s">
        <v>4</v>
      </c>
    </row>
    <row r="2652" spans="1:4" outlineLevel="1" x14ac:dyDescent="0.25">
      <c r="A2652" t="s">
        <v>383</v>
      </c>
      <c r="B2652" t="s">
        <v>12</v>
      </c>
      <c r="C2652" s="1" t="str">
        <f>HYPERLINK("http://продеталь.рф/search.html?article=AM07013GA","AM07013GA")</f>
        <v>AM07013GA</v>
      </c>
      <c r="D2652" t="s">
        <v>99</v>
      </c>
    </row>
    <row r="2653" spans="1:4" x14ac:dyDescent="0.25">
      <c r="A2653" t="s">
        <v>384</v>
      </c>
      <c r="B2653" s="2" t="s">
        <v>384</v>
      </c>
      <c r="C2653" s="2"/>
      <c r="D2653" s="2"/>
    </row>
    <row r="2654" spans="1:4" outlineLevel="1" x14ac:dyDescent="0.25">
      <c r="A2654" t="s">
        <v>384</v>
      </c>
      <c r="B2654" t="s">
        <v>11</v>
      </c>
      <c r="C2654" s="1" t="str">
        <f>HYPERLINK("http://продеталь.рф/search.html?article=JP82000001100","JP82000001100")</f>
        <v>JP82000001100</v>
      </c>
      <c r="D2654" t="s">
        <v>9</v>
      </c>
    </row>
    <row r="2655" spans="1:4" outlineLevel="1" x14ac:dyDescent="0.25">
      <c r="A2655" t="s">
        <v>384</v>
      </c>
      <c r="B2655" t="s">
        <v>15</v>
      </c>
      <c r="C2655" s="1" t="str">
        <f>HYPERLINK("http://продеталь.рф/search.html?article=388JPD020E","388JPD020E")</f>
        <v>388JPD020E</v>
      </c>
      <c r="D2655" t="s">
        <v>4</v>
      </c>
    </row>
    <row r="2656" spans="1:4" outlineLevel="1" x14ac:dyDescent="0.25">
      <c r="A2656" t="s">
        <v>384</v>
      </c>
      <c r="B2656" t="s">
        <v>15</v>
      </c>
      <c r="C2656" s="1" t="str">
        <f>HYPERLINK("http://продеталь.рф/search.html?article=VCRM1006BR","VCRM1006BR")</f>
        <v>VCRM1006BR</v>
      </c>
      <c r="D2656" t="s">
        <v>6</v>
      </c>
    </row>
    <row r="2657" spans="1:4" outlineLevel="1" x14ac:dyDescent="0.25">
      <c r="A2657" t="s">
        <v>384</v>
      </c>
      <c r="B2657" t="s">
        <v>23</v>
      </c>
      <c r="C2657" s="1" t="str">
        <f>HYPERLINK("http://продеталь.рф/search.html?article=11607701","11607701")</f>
        <v>11607701</v>
      </c>
      <c r="D2657" t="s">
        <v>4</v>
      </c>
    </row>
    <row r="2658" spans="1:4" outlineLevel="1" x14ac:dyDescent="0.25">
      <c r="A2658" t="s">
        <v>384</v>
      </c>
      <c r="B2658" t="s">
        <v>23</v>
      </c>
      <c r="C2658" s="1" t="str">
        <f>HYPERLINK("http://продеталь.рф/search.html?article=116281001A","116281001A")</f>
        <v>116281001A</v>
      </c>
      <c r="D2658" t="s">
        <v>4</v>
      </c>
    </row>
    <row r="2659" spans="1:4" outlineLevel="1" x14ac:dyDescent="0.25">
      <c r="A2659" t="s">
        <v>384</v>
      </c>
      <c r="B2659" t="s">
        <v>1</v>
      </c>
      <c r="C2659" s="1" t="str">
        <f>HYPERLINK("http://продеталь.рф/search.html?article=GD99432A","GD99432A")</f>
        <v>GD99432A</v>
      </c>
      <c r="D2659" t="s">
        <v>2</v>
      </c>
    </row>
    <row r="2660" spans="1:4" outlineLevel="1" x14ac:dyDescent="0.25">
      <c r="A2660" t="s">
        <v>384</v>
      </c>
      <c r="B2660" t="s">
        <v>27</v>
      </c>
      <c r="C2660" s="1" t="str">
        <f>HYPERLINK("http://продеталь.рф/search.html?article=JP820270","JP820270")</f>
        <v>JP820270</v>
      </c>
      <c r="D2660" t="s">
        <v>9</v>
      </c>
    </row>
    <row r="2661" spans="1:4" outlineLevel="1" x14ac:dyDescent="0.25">
      <c r="A2661" t="s">
        <v>384</v>
      </c>
      <c r="B2661" t="s">
        <v>27</v>
      </c>
      <c r="C2661" s="1" t="str">
        <f>HYPERLINK("http://продеталь.рф/search.html?article=AM30013A","AM30013A")</f>
        <v>AM30013A</v>
      </c>
      <c r="D2661" t="s">
        <v>2</v>
      </c>
    </row>
    <row r="2662" spans="1:4" outlineLevel="1" x14ac:dyDescent="0.25">
      <c r="A2662" t="s">
        <v>384</v>
      </c>
      <c r="B2662" t="s">
        <v>5</v>
      </c>
      <c r="C2662" s="1" t="str">
        <f>HYPERLINK("http://продеталь.рф/search.html?article=JP82016L2","JP82016L2")</f>
        <v>JP82016L2</v>
      </c>
      <c r="D2662" t="s">
        <v>9</v>
      </c>
    </row>
    <row r="2663" spans="1:4" outlineLevel="1" x14ac:dyDescent="0.25">
      <c r="A2663" t="s">
        <v>384</v>
      </c>
      <c r="B2663" t="s">
        <v>5</v>
      </c>
      <c r="C2663" s="1" t="str">
        <f>HYPERLINK("http://продеталь.рф/search.html?article=AM11016BL","AM11016BL")</f>
        <v>AM11016BL</v>
      </c>
      <c r="D2663" t="s">
        <v>2</v>
      </c>
    </row>
    <row r="2664" spans="1:4" outlineLevel="1" x14ac:dyDescent="0.25">
      <c r="A2664" t="s">
        <v>384</v>
      </c>
      <c r="B2664" t="s">
        <v>19</v>
      </c>
      <c r="C2664" s="1" t="str">
        <f>HYPERLINK("http://продеталь.рф/search.html?article=19576990","19576990")</f>
        <v>19576990</v>
      </c>
      <c r="D2664" t="s">
        <v>4</v>
      </c>
    </row>
    <row r="2665" spans="1:4" outlineLevel="1" x14ac:dyDescent="0.25">
      <c r="A2665" t="s">
        <v>384</v>
      </c>
      <c r="B2665" t="s">
        <v>28</v>
      </c>
      <c r="C2665" s="1" t="str">
        <f>HYPERLINK("http://продеталь.рф/search.html?article=JP65000500000","JP65000500000")</f>
        <v>JP65000500000</v>
      </c>
      <c r="D2665" t="s">
        <v>9</v>
      </c>
    </row>
    <row r="2666" spans="1:4" outlineLevel="1" x14ac:dyDescent="0.25">
      <c r="A2666" t="s">
        <v>384</v>
      </c>
      <c r="B2666" t="s">
        <v>12</v>
      </c>
      <c r="C2666" s="1" t="str">
        <f>HYPERLINK("http://продеталь.рф/search.html?article=JP820930","JP820930")</f>
        <v>JP820930</v>
      </c>
      <c r="D2666" t="s">
        <v>9</v>
      </c>
    </row>
    <row r="2667" spans="1:4" outlineLevel="1" x14ac:dyDescent="0.25">
      <c r="A2667" t="s">
        <v>384</v>
      </c>
      <c r="B2667" t="s">
        <v>12</v>
      </c>
      <c r="C2667" s="1" t="str">
        <f>HYPERLINK("http://продеталь.рф/search.html?article=AM07025GA","AM07025GA")</f>
        <v>AM07025GA</v>
      </c>
      <c r="D2667" t="s">
        <v>2</v>
      </c>
    </row>
    <row r="2668" spans="1:4" outlineLevel="1" x14ac:dyDescent="0.25">
      <c r="A2668" t="s">
        <v>384</v>
      </c>
      <c r="B2668" t="s">
        <v>71</v>
      </c>
      <c r="C2668" s="1" t="str">
        <f>HYPERLINK("http://продеталь.рф/search.html?article=JP820130","JP820130")</f>
        <v>JP820130</v>
      </c>
      <c r="D2668" t="s">
        <v>9</v>
      </c>
    </row>
    <row r="2669" spans="1:4" x14ac:dyDescent="0.25">
      <c r="A2669" t="s">
        <v>385</v>
      </c>
      <c r="B2669" s="2" t="s">
        <v>385</v>
      </c>
      <c r="C2669" s="2"/>
      <c r="D2669" s="2"/>
    </row>
    <row r="2670" spans="1:4" outlineLevel="1" x14ac:dyDescent="0.25">
      <c r="A2670" t="s">
        <v>385</v>
      </c>
      <c r="B2670" t="s">
        <v>3</v>
      </c>
      <c r="C2670" s="1" t="str">
        <f>HYPERLINK("http://продеталь.рф/search.html?article=HL99064L","HL99064L")</f>
        <v>HL99064L</v>
      </c>
      <c r="D2670" t="s">
        <v>36</v>
      </c>
    </row>
    <row r="2671" spans="1:4" outlineLevel="1" x14ac:dyDescent="0.25">
      <c r="A2671" t="s">
        <v>385</v>
      </c>
      <c r="B2671" t="s">
        <v>3</v>
      </c>
      <c r="C2671" s="1" t="str">
        <f>HYPERLINK("http://продеталь.рф/search.html?article=HL99064R","HL99064R")</f>
        <v>HL99064R</v>
      </c>
      <c r="D2671" t="s">
        <v>36</v>
      </c>
    </row>
    <row r="2672" spans="1:4" x14ac:dyDescent="0.25">
      <c r="A2672" t="s">
        <v>386</v>
      </c>
      <c r="B2672" s="2" t="s">
        <v>386</v>
      </c>
      <c r="C2672" s="2"/>
      <c r="D2672" s="2"/>
    </row>
    <row r="2673" spans="1:4" outlineLevel="1" x14ac:dyDescent="0.25">
      <c r="A2673" t="s">
        <v>386</v>
      </c>
      <c r="B2673" t="s">
        <v>23</v>
      </c>
      <c r="C2673" s="1" t="str">
        <f>HYPERLINK("http://продеталь.рф/search.html?article=115885011A","115885011A")</f>
        <v>115885011A</v>
      </c>
      <c r="D2673" t="s">
        <v>4</v>
      </c>
    </row>
    <row r="2674" spans="1:4" outlineLevel="1" x14ac:dyDescent="0.25">
      <c r="A2674" t="s">
        <v>386</v>
      </c>
      <c r="B2674" t="s">
        <v>1</v>
      </c>
      <c r="C2674" s="1" t="str">
        <f>HYPERLINK("http://продеталь.рф/search.html?article=JP770150","JP770150")</f>
        <v>JP770150</v>
      </c>
      <c r="D2674" t="s">
        <v>9</v>
      </c>
    </row>
    <row r="2675" spans="1:4" outlineLevel="1" x14ac:dyDescent="0.25">
      <c r="A2675" t="s">
        <v>386</v>
      </c>
      <c r="B2675" t="s">
        <v>24</v>
      </c>
      <c r="C2675" s="1" t="str">
        <f>HYPERLINK("http://продеталь.рф/search.html?article=JP770161","JP770161")</f>
        <v>JP770161</v>
      </c>
      <c r="D2675" t="s">
        <v>9</v>
      </c>
    </row>
    <row r="2676" spans="1:4" outlineLevel="1" x14ac:dyDescent="0.25">
      <c r="A2676" t="s">
        <v>386</v>
      </c>
      <c r="B2676" t="s">
        <v>27</v>
      </c>
      <c r="C2676" s="1" t="str">
        <f>HYPERLINK("http://продеталь.рф/search.html?article=PCR30016AW","PCR30016AW")</f>
        <v>PCR30016AW</v>
      </c>
      <c r="D2676" t="s">
        <v>6</v>
      </c>
    </row>
    <row r="2677" spans="1:4" outlineLevel="1" x14ac:dyDescent="0.25">
      <c r="A2677" t="s">
        <v>386</v>
      </c>
      <c r="B2677" t="s">
        <v>3</v>
      </c>
      <c r="C2677" s="1" t="str">
        <f>HYPERLINK("http://продеталь.рф/search.html?article=20628900","20628900")</f>
        <v>20628900</v>
      </c>
      <c r="D2677" t="s">
        <v>4</v>
      </c>
    </row>
    <row r="2678" spans="1:4" outlineLevel="1" x14ac:dyDescent="0.25">
      <c r="A2678" t="s">
        <v>386</v>
      </c>
      <c r="B2678" t="s">
        <v>64</v>
      </c>
      <c r="C2678" s="1" t="str">
        <f>HYPERLINK("http://продеталь.рф/search.html?article=185837011A","185837011A")</f>
        <v>185837011A</v>
      </c>
      <c r="D2678" t="s">
        <v>4</v>
      </c>
    </row>
    <row r="2679" spans="1:4" x14ac:dyDescent="0.25">
      <c r="A2679" t="s">
        <v>387</v>
      </c>
      <c r="B2679" s="2" t="s">
        <v>387</v>
      </c>
      <c r="C2679" s="2"/>
      <c r="D2679" s="2"/>
    </row>
    <row r="2680" spans="1:4" outlineLevel="1" x14ac:dyDescent="0.25">
      <c r="A2680" t="s">
        <v>387</v>
      </c>
      <c r="B2680" t="s">
        <v>11</v>
      </c>
      <c r="C2680" s="1" t="str">
        <f>HYPERLINK("http://продеталь.рф/search.html?article=KA40100000000","KA40100000000")</f>
        <v>KA40100000000</v>
      </c>
      <c r="D2680" t="s">
        <v>9</v>
      </c>
    </row>
    <row r="2681" spans="1:4" outlineLevel="1" x14ac:dyDescent="0.25">
      <c r="A2681" t="s">
        <v>387</v>
      </c>
      <c r="B2681" t="s">
        <v>84</v>
      </c>
      <c r="C2681" s="1" t="str">
        <f>HYPERLINK("http://продеталь.рф/search.html?article=KA401000U0L00","KA401000U0L00")</f>
        <v>KA401000U0L00</v>
      </c>
      <c r="D2681" t="s">
        <v>9</v>
      </c>
    </row>
    <row r="2682" spans="1:4" outlineLevel="1" x14ac:dyDescent="0.25">
      <c r="A2682" t="s">
        <v>387</v>
      </c>
      <c r="B2682" t="s">
        <v>84</v>
      </c>
      <c r="C2682" s="1" t="str">
        <f>HYPERLINK("http://продеталь.рф/search.html?article=KA401000U0R00","KA401000U0R00")</f>
        <v>KA401000U0R00</v>
      </c>
      <c r="D2682" t="s">
        <v>9</v>
      </c>
    </row>
    <row r="2683" spans="1:4" outlineLevel="1" x14ac:dyDescent="0.25">
      <c r="A2683" t="s">
        <v>387</v>
      </c>
      <c r="B2683" t="s">
        <v>66</v>
      </c>
      <c r="C2683" s="1" t="str">
        <f>HYPERLINK("http://продеталь.рф/search.html?article=BK072","BK072")</f>
        <v>BK072</v>
      </c>
      <c r="D2683" t="s">
        <v>6</v>
      </c>
    </row>
    <row r="2684" spans="1:4" outlineLevel="1" x14ac:dyDescent="0.25">
      <c r="A2684" t="s">
        <v>387</v>
      </c>
      <c r="B2684" t="s">
        <v>3</v>
      </c>
      <c r="C2684" s="1" t="str">
        <f>HYPERLINK("http://продеталь.рф/search.html?article=2011856052","2011856052")</f>
        <v>2011856052</v>
      </c>
      <c r="D2684" t="s">
        <v>4</v>
      </c>
    </row>
    <row r="2685" spans="1:4" outlineLevel="1" x14ac:dyDescent="0.25">
      <c r="A2685" t="s">
        <v>387</v>
      </c>
      <c r="B2685" t="s">
        <v>3</v>
      </c>
      <c r="C2685" s="1" t="str">
        <f>HYPERLINK("http://продеталь.рф/search.html?article=2011855052","2011855052")</f>
        <v>2011855052</v>
      </c>
      <c r="D2685" t="s">
        <v>4</v>
      </c>
    </row>
    <row r="2686" spans="1:4" outlineLevel="1" x14ac:dyDescent="0.25">
      <c r="A2686" t="s">
        <v>387</v>
      </c>
      <c r="B2686" t="s">
        <v>5</v>
      </c>
      <c r="C2686" s="1" t="str">
        <f>HYPERLINK("http://продеталь.рф/search.html?article=KA401016L0R00","KA401016L0R00")</f>
        <v>KA401016L0R00</v>
      </c>
      <c r="D2686" t="s">
        <v>9</v>
      </c>
    </row>
    <row r="2687" spans="1:4" outlineLevel="1" x14ac:dyDescent="0.25">
      <c r="A2687" t="s">
        <v>387</v>
      </c>
      <c r="B2687" t="s">
        <v>30</v>
      </c>
      <c r="C2687" s="1" t="str">
        <f>HYPERLINK("http://продеталь.рф/search.html?article=PKA99003CAL","PKA99003CAL")</f>
        <v>PKA99003CAL</v>
      </c>
      <c r="D2687" t="s">
        <v>6</v>
      </c>
    </row>
    <row r="2688" spans="1:4" outlineLevel="1" x14ac:dyDescent="0.25">
      <c r="A2688" t="s">
        <v>387</v>
      </c>
      <c r="B2688" t="s">
        <v>40</v>
      </c>
      <c r="C2688" s="1" t="str">
        <f>HYPERLINK("http://продеталь.рф/search.html?article=PKA07001GA","PKA07001GA")</f>
        <v>PKA07001GA</v>
      </c>
      <c r="D2688" t="s">
        <v>6</v>
      </c>
    </row>
    <row r="2689" spans="1:4" outlineLevel="1" x14ac:dyDescent="0.25">
      <c r="A2689" t="s">
        <v>387</v>
      </c>
      <c r="B2689" t="s">
        <v>12</v>
      </c>
      <c r="C2689" s="1" t="str">
        <f>HYPERLINK("http://продеталь.рф/search.html?article=KA40109300000","KA40109300000")</f>
        <v>KA40109300000</v>
      </c>
      <c r="D2689" t="s">
        <v>9</v>
      </c>
    </row>
    <row r="2690" spans="1:4" outlineLevel="1" x14ac:dyDescent="0.25">
      <c r="A2690" t="s">
        <v>387</v>
      </c>
      <c r="B2690" t="s">
        <v>71</v>
      </c>
      <c r="C2690" s="1" t="str">
        <f>HYPERLINK("http://продеталь.рф/search.html?article=KA05007VA","KA05007VA")</f>
        <v>KA05007VA</v>
      </c>
      <c r="D2690" t="s">
        <v>2</v>
      </c>
    </row>
    <row r="2691" spans="1:4" x14ac:dyDescent="0.25">
      <c r="A2691" t="s">
        <v>388</v>
      </c>
      <c r="B2691" s="2" t="s">
        <v>388</v>
      </c>
      <c r="C2691" s="2"/>
      <c r="D2691" s="2"/>
    </row>
    <row r="2692" spans="1:4" outlineLevel="1" x14ac:dyDescent="0.25">
      <c r="A2692" t="s">
        <v>388</v>
      </c>
      <c r="B2692" t="s">
        <v>11</v>
      </c>
      <c r="C2692" s="1" t="str">
        <f>HYPERLINK("http://продеталь.рф/search.html?article=KA41000001000","KA41000001000")</f>
        <v>KA41000001000</v>
      </c>
      <c r="D2692" t="s">
        <v>9</v>
      </c>
    </row>
    <row r="2693" spans="1:4" outlineLevel="1" x14ac:dyDescent="0.25">
      <c r="A2693" t="s">
        <v>388</v>
      </c>
      <c r="B2693" t="s">
        <v>15</v>
      </c>
      <c r="C2693" s="1" t="str">
        <f>HYPERLINK("http://продеталь.рф/search.html?article=KA41094100R00","KA41094100R00")</f>
        <v>KA41094100R00</v>
      </c>
      <c r="D2693" t="s">
        <v>9</v>
      </c>
    </row>
    <row r="2694" spans="1:4" outlineLevel="1" x14ac:dyDescent="0.25">
      <c r="A2694" t="s">
        <v>388</v>
      </c>
      <c r="B2694" t="s">
        <v>24</v>
      </c>
      <c r="C2694" s="1" t="str">
        <f>HYPERLINK("http://продеталь.рф/search.html?article=KA41001600R00","KA41001600R00")</f>
        <v>KA41001600R00</v>
      </c>
      <c r="D2694" t="s">
        <v>9</v>
      </c>
    </row>
    <row r="2695" spans="1:4" x14ac:dyDescent="0.25">
      <c r="A2695" t="s">
        <v>389</v>
      </c>
      <c r="B2695" s="2" t="s">
        <v>389</v>
      </c>
      <c r="C2695" s="2"/>
      <c r="D2695" s="2"/>
    </row>
    <row r="2696" spans="1:4" outlineLevel="1" x14ac:dyDescent="0.25">
      <c r="A2696" t="s">
        <v>389</v>
      </c>
      <c r="B2696" t="s">
        <v>24</v>
      </c>
      <c r="C2696" s="1" t="str">
        <f>HYPERLINK("http://продеталь.рф/search.html?article=KA41101600L00","KA41101600L00")</f>
        <v>KA41101600L00</v>
      </c>
      <c r="D2696" t="s">
        <v>9</v>
      </c>
    </row>
    <row r="2697" spans="1:4" outlineLevel="1" x14ac:dyDescent="0.25">
      <c r="A2697" t="s">
        <v>389</v>
      </c>
      <c r="B2697" t="s">
        <v>12</v>
      </c>
      <c r="C2697" s="1" t="str">
        <f>HYPERLINK("http://продеталь.рф/search.html?article=KA07018GA","KA07018GA")</f>
        <v>KA07018GA</v>
      </c>
      <c r="D2697" t="s">
        <v>2</v>
      </c>
    </row>
    <row r="2698" spans="1:4" outlineLevel="1" x14ac:dyDescent="0.25">
      <c r="A2698" t="s">
        <v>389</v>
      </c>
      <c r="B2698" t="s">
        <v>13</v>
      </c>
      <c r="C2698" s="1" t="str">
        <f>HYPERLINK("http://продеталь.рф/search.html?article=PKA44027A","PKA44027A")</f>
        <v>PKA44027A</v>
      </c>
      <c r="D2698" t="s">
        <v>6</v>
      </c>
    </row>
    <row r="2699" spans="1:4" x14ac:dyDescent="0.25">
      <c r="A2699" t="s">
        <v>390</v>
      </c>
      <c r="B2699" s="2" t="s">
        <v>390</v>
      </c>
      <c r="C2699" s="2"/>
      <c r="D2699" s="2"/>
    </row>
    <row r="2700" spans="1:4" outlineLevel="1" x14ac:dyDescent="0.25">
      <c r="A2700" t="s">
        <v>390</v>
      </c>
      <c r="B2700" t="s">
        <v>12</v>
      </c>
      <c r="C2700" s="1" t="str">
        <f>HYPERLINK("http://продеталь.рф/search.html?article=KA010930","KA010930")</f>
        <v>KA010930</v>
      </c>
      <c r="D2700" t="s">
        <v>9</v>
      </c>
    </row>
    <row r="2701" spans="1:4" outlineLevel="1" x14ac:dyDescent="0.25">
      <c r="A2701" t="s">
        <v>390</v>
      </c>
      <c r="B2701" t="s">
        <v>13</v>
      </c>
      <c r="C2701" s="1" t="str">
        <f>HYPERLINK("http://продеталь.рф/search.html?article=KA010000R0000","KA010000R0000")</f>
        <v>KA010000R0000</v>
      </c>
      <c r="D2701" t="s">
        <v>9</v>
      </c>
    </row>
    <row r="2702" spans="1:4" x14ac:dyDescent="0.25">
      <c r="A2702" t="s">
        <v>391</v>
      </c>
      <c r="B2702" s="2" t="s">
        <v>391</v>
      </c>
      <c r="C2702" s="2"/>
      <c r="D2702" s="2"/>
    </row>
    <row r="2703" spans="1:4" outlineLevel="1" x14ac:dyDescent="0.25">
      <c r="A2703" t="s">
        <v>391</v>
      </c>
      <c r="B2703" t="s">
        <v>5</v>
      </c>
      <c r="C2703" s="1" t="str">
        <f>HYPERLINK("http://продеталь.рф/search.html?article=306KAF077","306KAF077")</f>
        <v>306KAF077</v>
      </c>
      <c r="D2703" t="s">
        <v>4</v>
      </c>
    </row>
    <row r="2704" spans="1:4" outlineLevel="1" x14ac:dyDescent="0.25">
      <c r="A2704" t="s">
        <v>391</v>
      </c>
      <c r="B2704" t="s">
        <v>19</v>
      </c>
      <c r="C2704" s="1" t="str">
        <f>HYPERLINK("http://продеталь.рф/search.html?article=19A744012B","19A744012B")</f>
        <v>19A744012B</v>
      </c>
      <c r="D2704" t="s">
        <v>4</v>
      </c>
    </row>
    <row r="2705" spans="1:4" outlineLevel="1" x14ac:dyDescent="0.25">
      <c r="A2705" t="s">
        <v>391</v>
      </c>
      <c r="B2705" t="s">
        <v>19</v>
      </c>
      <c r="C2705" s="1" t="str">
        <f>HYPERLINK("http://продеталь.рф/search.html?article=19A743012B","19A743012B")</f>
        <v>19A743012B</v>
      </c>
      <c r="D2705" t="s">
        <v>4</v>
      </c>
    </row>
    <row r="2706" spans="1:4" x14ac:dyDescent="0.25">
      <c r="A2706" t="s">
        <v>392</v>
      </c>
      <c r="B2706" s="2" t="s">
        <v>392</v>
      </c>
      <c r="C2706" s="2"/>
      <c r="D2706" s="2"/>
    </row>
    <row r="2707" spans="1:4" outlineLevel="1" x14ac:dyDescent="0.25">
      <c r="A2707" t="s">
        <v>392</v>
      </c>
      <c r="B2707" t="s">
        <v>1</v>
      </c>
      <c r="C2707" s="1" t="str">
        <f>HYPERLINK("http://продеталь.рф/search.html?article=KA45015A0","KA45015A0")</f>
        <v>KA45015A0</v>
      </c>
      <c r="D2707" t="s">
        <v>9</v>
      </c>
    </row>
    <row r="2708" spans="1:4" outlineLevel="1" x14ac:dyDescent="0.25">
      <c r="A2708" t="s">
        <v>392</v>
      </c>
      <c r="B2708" t="s">
        <v>24</v>
      </c>
      <c r="C2708" s="1" t="str">
        <f>HYPERLINK("http://продеталь.рф/search.html?article=KA10006AR","KA10006AR")</f>
        <v>KA10006AR</v>
      </c>
      <c r="D2708" t="s">
        <v>2</v>
      </c>
    </row>
    <row r="2709" spans="1:4" outlineLevel="1" x14ac:dyDescent="0.25">
      <c r="A2709" t="s">
        <v>392</v>
      </c>
      <c r="B2709" t="s">
        <v>24</v>
      </c>
      <c r="C2709" s="1" t="str">
        <f>HYPERLINK("http://продеталь.рф/search.html?article=KA45016G1","KA45016G1")</f>
        <v>KA45016G1</v>
      </c>
      <c r="D2709" t="s">
        <v>9</v>
      </c>
    </row>
    <row r="2710" spans="1:4" outlineLevel="1" x14ac:dyDescent="0.25">
      <c r="A2710" t="s">
        <v>392</v>
      </c>
      <c r="B2710" t="s">
        <v>27</v>
      </c>
      <c r="C2710" s="1" t="str">
        <f>HYPERLINK("http://продеталь.рф/search.html?article=PKA30006A","PKA30006A")</f>
        <v>PKA30006A</v>
      </c>
      <c r="D2710" t="s">
        <v>6</v>
      </c>
    </row>
    <row r="2711" spans="1:4" outlineLevel="1" x14ac:dyDescent="0.25">
      <c r="A2711" t="s">
        <v>392</v>
      </c>
      <c r="B2711" t="s">
        <v>3</v>
      </c>
      <c r="C2711" s="1" t="str">
        <f>HYPERLINK("http://продеталь.рф/search.html?article=ZKA1111CL","ZKA1111CL")</f>
        <v>ZKA1111CL</v>
      </c>
      <c r="D2711" t="s">
        <v>6</v>
      </c>
    </row>
    <row r="2712" spans="1:4" outlineLevel="1" x14ac:dyDescent="0.25">
      <c r="A2712" t="s">
        <v>392</v>
      </c>
      <c r="B2712" t="s">
        <v>3</v>
      </c>
      <c r="C2712" s="1" t="str">
        <f>HYPERLINK("http://продеталь.рф/search.html?article=ZKA1111CR","ZKA1111CR")</f>
        <v>ZKA1111CR</v>
      </c>
      <c r="D2712" t="s">
        <v>6</v>
      </c>
    </row>
    <row r="2713" spans="1:4" outlineLevel="1" x14ac:dyDescent="0.25">
      <c r="A2713" t="s">
        <v>392</v>
      </c>
      <c r="B2713" t="s">
        <v>3</v>
      </c>
      <c r="C2713" s="1" t="str">
        <f>HYPERLINK("http://продеталь.рф/search.html?article=206536051A","206536051A")</f>
        <v>206536051A</v>
      </c>
      <c r="D2713" t="s">
        <v>4</v>
      </c>
    </row>
    <row r="2714" spans="1:4" outlineLevel="1" x14ac:dyDescent="0.25">
      <c r="A2714" t="s">
        <v>392</v>
      </c>
      <c r="B2714" t="s">
        <v>3</v>
      </c>
      <c r="C2714" s="1" t="str">
        <f>HYPERLINK("http://продеталь.рф/search.html?article=206535051A","206535051A")</f>
        <v>206535051A</v>
      </c>
      <c r="D2714" t="s">
        <v>4</v>
      </c>
    </row>
    <row r="2715" spans="1:4" outlineLevel="1" x14ac:dyDescent="0.25">
      <c r="A2715" t="s">
        <v>392</v>
      </c>
      <c r="B2715" t="s">
        <v>19</v>
      </c>
      <c r="C2715" s="1" t="str">
        <f>HYPERLINK("http://продеталь.рф/search.html?article=ZKA2003KL","ZKA2003KL")</f>
        <v>ZKA2003KL</v>
      </c>
      <c r="D2715" t="s">
        <v>6</v>
      </c>
    </row>
    <row r="2716" spans="1:4" outlineLevel="1" x14ac:dyDescent="0.25">
      <c r="A2716" t="s">
        <v>392</v>
      </c>
      <c r="B2716" t="s">
        <v>19</v>
      </c>
      <c r="C2716" s="1" t="str">
        <f>HYPERLINK("http://продеталь.рф/search.html?article=ZKA2003KR","ZKA2003KR")</f>
        <v>ZKA2003KR</v>
      </c>
      <c r="D2716" t="s">
        <v>6</v>
      </c>
    </row>
    <row r="2717" spans="1:4" outlineLevel="1" x14ac:dyDescent="0.25">
      <c r="A2717" t="s">
        <v>392</v>
      </c>
      <c r="B2717" t="s">
        <v>393</v>
      </c>
      <c r="C2717" s="1" t="str">
        <f>HYPERLINK("http://продеталь.рф/search.html?article=ZKA2003L","ZKA2003L")</f>
        <v>ZKA2003L</v>
      </c>
      <c r="D2717" t="s">
        <v>6</v>
      </c>
    </row>
    <row r="2718" spans="1:4" outlineLevel="1" x14ac:dyDescent="0.25">
      <c r="A2718" t="s">
        <v>392</v>
      </c>
      <c r="B2718" t="s">
        <v>8</v>
      </c>
      <c r="C2718" s="1" t="str">
        <f>HYPERLINK("http://продеталь.рф/search.html?article=RC95200","RC95200")</f>
        <v>RC95200</v>
      </c>
      <c r="D2718" t="s">
        <v>6</v>
      </c>
    </row>
    <row r="2719" spans="1:4" outlineLevel="1" x14ac:dyDescent="0.25">
      <c r="A2719" t="s">
        <v>392</v>
      </c>
      <c r="B2719" t="s">
        <v>12</v>
      </c>
      <c r="C2719" s="1" t="str">
        <f>HYPERLINK("http://продеталь.рф/search.html?article=KA07003GA","KA07003GA")</f>
        <v>KA07003GA</v>
      </c>
      <c r="D2719" t="s">
        <v>2</v>
      </c>
    </row>
    <row r="2720" spans="1:4" x14ac:dyDescent="0.25">
      <c r="A2720" t="s">
        <v>394</v>
      </c>
      <c r="B2720" s="2" t="s">
        <v>394</v>
      </c>
      <c r="C2720" s="2"/>
      <c r="D2720" s="2"/>
    </row>
    <row r="2721" spans="1:4" outlineLevel="1" x14ac:dyDescent="0.25">
      <c r="A2721" t="s">
        <v>394</v>
      </c>
      <c r="B2721" t="s">
        <v>24</v>
      </c>
      <c r="C2721" s="1" t="str">
        <f>HYPERLINK("http://продеталь.рф/search.html?article=PKA10017BL","PKA10017BL")</f>
        <v>PKA10017BL</v>
      </c>
      <c r="D2721" t="s">
        <v>6</v>
      </c>
    </row>
    <row r="2722" spans="1:4" outlineLevel="1" x14ac:dyDescent="0.25">
      <c r="A2722" t="s">
        <v>394</v>
      </c>
      <c r="B2722" t="s">
        <v>3</v>
      </c>
      <c r="C2722" s="1" t="str">
        <f>HYPERLINK("http://продеталь.рф/search.html?article=20B296001A","20B296001A")</f>
        <v>20B296001A</v>
      </c>
      <c r="D2722" t="s">
        <v>4</v>
      </c>
    </row>
    <row r="2723" spans="1:4" outlineLevel="1" x14ac:dyDescent="0.25">
      <c r="A2723" t="s">
        <v>394</v>
      </c>
      <c r="B2723" t="s">
        <v>3</v>
      </c>
      <c r="C2723" s="1" t="str">
        <f>HYPERLINK("http://продеталь.рф/search.html?article=20B295001A","20B295001A")</f>
        <v>20B295001A</v>
      </c>
      <c r="D2723" t="s">
        <v>4</v>
      </c>
    </row>
    <row r="2724" spans="1:4" outlineLevel="1" x14ac:dyDescent="0.25">
      <c r="A2724" t="s">
        <v>394</v>
      </c>
      <c r="B2724" t="s">
        <v>5</v>
      </c>
      <c r="C2724" s="1" t="str">
        <f>HYPERLINK("http://продеталь.рф/search.html?article=KA11017AL","KA11017AL")</f>
        <v>KA11017AL</v>
      </c>
      <c r="D2724" t="s">
        <v>2</v>
      </c>
    </row>
    <row r="2725" spans="1:4" outlineLevel="1" x14ac:dyDescent="0.25">
      <c r="A2725" t="s">
        <v>394</v>
      </c>
      <c r="B2725" t="s">
        <v>5</v>
      </c>
      <c r="C2725" s="1" t="str">
        <f>HYPERLINK("http://продеталь.рф/search.html?article=KA11017AR","KA11017AR")</f>
        <v>KA11017AR</v>
      </c>
      <c r="D2725" t="s">
        <v>2</v>
      </c>
    </row>
    <row r="2726" spans="1:4" outlineLevel="1" x14ac:dyDescent="0.25">
      <c r="A2726" t="s">
        <v>394</v>
      </c>
      <c r="B2726" t="s">
        <v>19</v>
      </c>
      <c r="C2726" s="1" t="str">
        <f>HYPERLINK("http://продеталь.рф/search.html?article=KAG1002AAL","KAG1002AAL")</f>
        <v>KAG1002AAL</v>
      </c>
      <c r="D2726" t="s">
        <v>2</v>
      </c>
    </row>
    <row r="2727" spans="1:4" outlineLevel="1" x14ac:dyDescent="0.25">
      <c r="A2727" t="s">
        <v>394</v>
      </c>
      <c r="B2727" t="s">
        <v>19</v>
      </c>
      <c r="C2727" s="1" t="str">
        <f>HYPERLINK("http://продеталь.рф/search.html?article=KAG1002AAR","KAG1002AAR")</f>
        <v>KAG1002AAR</v>
      </c>
      <c r="D2727" t="s">
        <v>2</v>
      </c>
    </row>
    <row r="2728" spans="1:4" outlineLevel="1" x14ac:dyDescent="0.25">
      <c r="A2728" t="s">
        <v>394</v>
      </c>
      <c r="B2728" t="s">
        <v>13</v>
      </c>
      <c r="C2728" s="1" t="str">
        <f>HYPERLINK("http://продеталь.рф/search.html?article=KA46000R0","KA46000R0")</f>
        <v>KA46000R0</v>
      </c>
      <c r="D2728" t="s">
        <v>9</v>
      </c>
    </row>
    <row r="2729" spans="1:4" x14ac:dyDescent="0.25">
      <c r="A2729" t="s">
        <v>395</v>
      </c>
      <c r="B2729" s="2" t="s">
        <v>395</v>
      </c>
      <c r="C2729" s="2"/>
      <c r="D2729" s="2"/>
    </row>
    <row r="2730" spans="1:4" outlineLevel="1" x14ac:dyDescent="0.25">
      <c r="A2730" t="s">
        <v>395</v>
      </c>
      <c r="B2730" t="s">
        <v>11</v>
      </c>
      <c r="C2730" s="1" t="str">
        <f>HYPERLINK("http://продеталь.рф/search.html?article=PKA04017BR","PKA04017BR")</f>
        <v>PKA04017BR</v>
      </c>
      <c r="D2730" t="s">
        <v>6</v>
      </c>
    </row>
    <row r="2731" spans="1:4" outlineLevel="1" x14ac:dyDescent="0.25">
      <c r="A2731" t="s">
        <v>395</v>
      </c>
      <c r="B2731" t="s">
        <v>23</v>
      </c>
      <c r="C2731" s="1" t="str">
        <f>HYPERLINK("http://продеталь.рф/search.html?article=ZKA1900KL","ZKA1900KL")</f>
        <v>ZKA1900KL</v>
      </c>
      <c r="D2731" t="s">
        <v>6</v>
      </c>
    </row>
    <row r="2732" spans="1:4" outlineLevel="1" x14ac:dyDescent="0.25">
      <c r="A2732" t="s">
        <v>395</v>
      </c>
      <c r="B2732" t="s">
        <v>23</v>
      </c>
      <c r="C2732" s="1" t="str">
        <f>HYPERLINK("http://продеталь.рф/search.html?article=ZKA1900KR","ZKA1900KR")</f>
        <v>ZKA1900KR</v>
      </c>
      <c r="D2732" t="s">
        <v>6</v>
      </c>
    </row>
    <row r="2733" spans="1:4" outlineLevel="1" x14ac:dyDescent="0.25">
      <c r="A2733" t="s">
        <v>395</v>
      </c>
      <c r="B2733" t="s">
        <v>3</v>
      </c>
      <c r="C2733" s="1" t="str">
        <f>HYPERLINK("http://продеталь.рф/search.html?article=20E368059B","20E368059B")</f>
        <v>20E368059B</v>
      </c>
      <c r="D2733" t="s">
        <v>4</v>
      </c>
    </row>
    <row r="2734" spans="1:4" outlineLevel="1" x14ac:dyDescent="0.25">
      <c r="A2734" t="s">
        <v>395</v>
      </c>
      <c r="B2734" t="s">
        <v>3</v>
      </c>
      <c r="C2734" s="1" t="str">
        <f>HYPERLINK("http://продеталь.рф/search.html?article=20E367059B","20E367059B")</f>
        <v>20E367059B</v>
      </c>
      <c r="D2734" t="s">
        <v>4</v>
      </c>
    </row>
    <row r="2735" spans="1:4" outlineLevel="1" x14ac:dyDescent="0.25">
      <c r="A2735" t="s">
        <v>395</v>
      </c>
      <c r="B2735" t="s">
        <v>19</v>
      </c>
      <c r="C2735" s="1" t="str">
        <f>HYPERLINK("http://продеталь.рф/search.html?article=ZKA2004KL","ZKA2004KL")</f>
        <v>ZKA2004KL</v>
      </c>
      <c r="D2735" t="s">
        <v>6</v>
      </c>
    </row>
    <row r="2736" spans="1:4" outlineLevel="1" x14ac:dyDescent="0.25">
      <c r="A2736" t="s">
        <v>395</v>
      </c>
      <c r="B2736" t="s">
        <v>19</v>
      </c>
      <c r="C2736" s="1" t="str">
        <f>HYPERLINK("http://продеталь.рф/search.html?article=ZKA2004KR","ZKA2004KR")</f>
        <v>ZKA2004KR</v>
      </c>
      <c r="D2736" t="s">
        <v>6</v>
      </c>
    </row>
    <row r="2737" spans="1:4" x14ac:dyDescent="0.25">
      <c r="A2737" t="s">
        <v>396</v>
      </c>
      <c r="B2737" s="2" t="s">
        <v>396</v>
      </c>
      <c r="C2737" s="2"/>
      <c r="D2737" s="2"/>
    </row>
    <row r="2738" spans="1:4" outlineLevel="1" x14ac:dyDescent="0.25">
      <c r="A2738" t="s">
        <v>396</v>
      </c>
      <c r="B2738" t="s">
        <v>11</v>
      </c>
      <c r="C2738" s="1" t="str">
        <f>HYPERLINK("http://продеталь.рф/search.html?article=KA26000A0","KA26000A0")</f>
        <v>KA26000A0</v>
      </c>
      <c r="D2738" t="s">
        <v>9</v>
      </c>
    </row>
    <row r="2739" spans="1:4" x14ac:dyDescent="0.25">
      <c r="A2739" t="s">
        <v>397</v>
      </c>
      <c r="B2739" s="2" t="s">
        <v>397</v>
      </c>
      <c r="C2739" s="2"/>
      <c r="D2739" s="2"/>
    </row>
    <row r="2740" spans="1:4" outlineLevel="1" x14ac:dyDescent="0.25">
      <c r="A2740" t="s">
        <v>397</v>
      </c>
      <c r="B2740" t="s">
        <v>79</v>
      </c>
      <c r="C2740" s="1" t="str">
        <f>HYPERLINK("http://продеталь.рф/search.html?article=KA550040","KA550040")</f>
        <v>KA550040</v>
      </c>
      <c r="D2740" t="s">
        <v>9</v>
      </c>
    </row>
    <row r="2741" spans="1:4" outlineLevel="1" x14ac:dyDescent="0.25">
      <c r="A2741" t="s">
        <v>397</v>
      </c>
      <c r="B2741" t="s">
        <v>19</v>
      </c>
      <c r="C2741" s="1" t="str">
        <f>HYPERLINK("http://продеталь.рф/search.html?article=KA552191","KA552191")</f>
        <v>KA552191</v>
      </c>
      <c r="D2741" t="s">
        <v>9</v>
      </c>
    </row>
    <row r="2742" spans="1:4" x14ac:dyDescent="0.25">
      <c r="A2742" t="s">
        <v>398</v>
      </c>
      <c r="B2742" s="2" t="s">
        <v>398</v>
      </c>
      <c r="C2742" s="2"/>
      <c r="D2742" s="2"/>
    </row>
    <row r="2743" spans="1:4" outlineLevel="1" x14ac:dyDescent="0.25">
      <c r="A2743" t="s">
        <v>398</v>
      </c>
      <c r="B2743" t="s">
        <v>40</v>
      </c>
      <c r="C2743" s="1" t="str">
        <f>HYPERLINK("http://продеталь.рф/search.html?article=BP0983L","BP0983L")</f>
        <v>BP0983L</v>
      </c>
      <c r="D2743" t="s">
        <v>36</v>
      </c>
    </row>
    <row r="2744" spans="1:4" outlineLevel="1" x14ac:dyDescent="0.25">
      <c r="A2744" t="s">
        <v>398</v>
      </c>
      <c r="B2744" t="s">
        <v>40</v>
      </c>
      <c r="C2744" s="1" t="str">
        <f>HYPERLINK("http://продеталь.рф/search.html?article=BP0983R","BP0983R")</f>
        <v>BP0983R</v>
      </c>
      <c r="D2744" t="s">
        <v>36</v>
      </c>
    </row>
    <row r="2745" spans="1:4" x14ac:dyDescent="0.25">
      <c r="A2745" t="s">
        <v>399</v>
      </c>
      <c r="B2745" s="2" t="s">
        <v>399</v>
      </c>
      <c r="C2745" s="2"/>
      <c r="D2745" s="2"/>
    </row>
    <row r="2746" spans="1:4" outlineLevel="1" x14ac:dyDescent="0.25">
      <c r="A2746" t="s">
        <v>399</v>
      </c>
      <c r="B2746" t="s">
        <v>84</v>
      </c>
      <c r="C2746" s="1" t="str">
        <f>HYPERLINK("http://продеталь.рф/search.html?article=KA43033AL","KA43033AL")</f>
        <v>KA43033AL</v>
      </c>
      <c r="D2746" t="s">
        <v>2</v>
      </c>
    </row>
    <row r="2747" spans="1:4" outlineLevel="1" x14ac:dyDescent="0.25">
      <c r="A2747" t="s">
        <v>399</v>
      </c>
      <c r="B2747" t="s">
        <v>26</v>
      </c>
      <c r="C2747" s="1" t="str">
        <f>HYPERLINK("http://продеталь.рф/search.html?article=KA04028MAL","KA04028MAL")</f>
        <v>KA04028MAL</v>
      </c>
      <c r="D2747" t="s">
        <v>2</v>
      </c>
    </row>
    <row r="2748" spans="1:4" outlineLevel="1" x14ac:dyDescent="0.25">
      <c r="A2748" t="s">
        <v>399</v>
      </c>
      <c r="B2748" t="s">
        <v>26</v>
      </c>
      <c r="C2748" s="1" t="str">
        <f>HYPERLINK("http://продеталь.рф/search.html?article=KA04028MAR","KA04028MAR")</f>
        <v>KA04028MAR</v>
      </c>
      <c r="D2748" t="s">
        <v>2</v>
      </c>
    </row>
    <row r="2749" spans="1:4" outlineLevel="1" x14ac:dyDescent="0.25">
      <c r="A2749" t="s">
        <v>399</v>
      </c>
      <c r="B2749" t="s">
        <v>5</v>
      </c>
      <c r="C2749" s="1" t="str">
        <f>HYPERLINK("http://продеталь.рф/search.html?article=KA11029BR","KA11029BR")</f>
        <v>KA11029BR</v>
      </c>
      <c r="D2749" t="s">
        <v>2</v>
      </c>
    </row>
    <row r="2750" spans="1:4" outlineLevel="1" x14ac:dyDescent="0.25">
      <c r="A2750" t="s">
        <v>399</v>
      </c>
      <c r="B2750" t="s">
        <v>19</v>
      </c>
      <c r="C2750" s="1" t="str">
        <f>HYPERLINK("http://продеталь.рф/search.html?article=19A928019B","19A928019B")</f>
        <v>19A928019B</v>
      </c>
      <c r="D2750" t="s">
        <v>4</v>
      </c>
    </row>
    <row r="2751" spans="1:4" x14ac:dyDescent="0.25">
      <c r="A2751" t="s">
        <v>400</v>
      </c>
      <c r="B2751" s="2" t="s">
        <v>400</v>
      </c>
      <c r="C2751" s="2"/>
      <c r="D2751" s="2"/>
    </row>
    <row r="2752" spans="1:4" outlineLevel="1" x14ac:dyDescent="0.25">
      <c r="A2752" t="s">
        <v>400</v>
      </c>
      <c r="B2752" t="s">
        <v>401</v>
      </c>
      <c r="C2752" s="1" t="str">
        <f>HYPERLINK("http://продеталь.рф/search.html?article=AK0K2NB40100C","AK0K2NB40100C")</f>
        <v>AK0K2NB40100C</v>
      </c>
      <c r="D2752" t="s">
        <v>244</v>
      </c>
    </row>
    <row r="2753" spans="1:4" outlineLevel="1" x14ac:dyDescent="0.25">
      <c r="A2753" t="s">
        <v>400</v>
      </c>
      <c r="B2753" t="s">
        <v>3</v>
      </c>
      <c r="C2753" s="1" t="str">
        <f>HYPERLINK("http://продеталь.рф/search.html?article=206508001A","206508001A")</f>
        <v>206508001A</v>
      </c>
      <c r="D2753" t="s">
        <v>4</v>
      </c>
    </row>
    <row r="2754" spans="1:4" outlineLevel="1" x14ac:dyDescent="0.25">
      <c r="A2754" t="s">
        <v>400</v>
      </c>
      <c r="B2754" t="s">
        <v>3</v>
      </c>
      <c r="C2754" s="1" t="str">
        <f>HYPERLINK("http://продеталь.рф/search.html?article=206507001A","206507001A")</f>
        <v>206507001A</v>
      </c>
      <c r="D2754" t="s">
        <v>4</v>
      </c>
    </row>
    <row r="2755" spans="1:4" outlineLevel="1" x14ac:dyDescent="0.25">
      <c r="A2755" t="s">
        <v>400</v>
      </c>
      <c r="B2755" t="s">
        <v>19</v>
      </c>
      <c r="C2755" s="1" t="str">
        <f>HYPERLINK("http://продеталь.рф/search.html?article=ZKA2025RK","ZKA2025RK")</f>
        <v>ZKA2025RK</v>
      </c>
      <c r="D2755" t="s">
        <v>6</v>
      </c>
    </row>
    <row r="2756" spans="1:4" outlineLevel="1" x14ac:dyDescent="0.25">
      <c r="A2756" t="s">
        <v>400</v>
      </c>
      <c r="B2756" t="s">
        <v>12</v>
      </c>
      <c r="C2756" s="1" t="str">
        <f>HYPERLINK("http://продеталь.рф/search.html?article=KA07004GA","KA07004GA")</f>
        <v>KA07004GA</v>
      </c>
      <c r="D2756" t="s">
        <v>2</v>
      </c>
    </row>
    <row r="2757" spans="1:4" x14ac:dyDescent="0.25">
      <c r="A2757" t="s">
        <v>402</v>
      </c>
      <c r="B2757" s="2" t="s">
        <v>402</v>
      </c>
      <c r="C2757" s="2"/>
      <c r="D2757" s="2"/>
    </row>
    <row r="2758" spans="1:4" outlineLevel="1" x14ac:dyDescent="0.25">
      <c r="A2758" t="s">
        <v>402</v>
      </c>
      <c r="B2758" t="s">
        <v>11</v>
      </c>
      <c r="C2758" s="1" t="str">
        <f>HYPERLINK("http://продеталь.рф/search.html?article=KA04005BA","KA04005BA")</f>
        <v>KA04005BA</v>
      </c>
      <c r="D2758" t="s">
        <v>2</v>
      </c>
    </row>
    <row r="2759" spans="1:4" outlineLevel="1" x14ac:dyDescent="0.25">
      <c r="A2759" t="s">
        <v>402</v>
      </c>
      <c r="B2759" t="s">
        <v>1</v>
      </c>
      <c r="C2759" s="1" t="str">
        <f>HYPERLINK("http://продеталь.рф/search.html?article=KA800150","KA800150")</f>
        <v>KA800150</v>
      </c>
      <c r="D2759" t="s">
        <v>9</v>
      </c>
    </row>
    <row r="2760" spans="1:4" outlineLevel="1" x14ac:dyDescent="0.25">
      <c r="A2760" t="s">
        <v>402</v>
      </c>
      <c r="B2760" t="s">
        <v>5</v>
      </c>
      <c r="C2760" s="1" t="str">
        <f>HYPERLINK("http://продеталь.рф/search.html?article=210831","210831")</f>
        <v>210831</v>
      </c>
      <c r="D2760" t="s">
        <v>21</v>
      </c>
    </row>
    <row r="2761" spans="1:4" outlineLevel="1" x14ac:dyDescent="0.25">
      <c r="A2761" t="s">
        <v>402</v>
      </c>
      <c r="B2761" t="s">
        <v>5</v>
      </c>
      <c r="C2761" s="1" t="str">
        <f>HYPERLINK("http://продеталь.рф/search.html?article=210832","210832")</f>
        <v>210832</v>
      </c>
      <c r="D2761" t="s">
        <v>21</v>
      </c>
    </row>
    <row r="2762" spans="1:4" x14ac:dyDescent="0.25">
      <c r="A2762" t="s">
        <v>403</v>
      </c>
      <c r="B2762" s="2" t="s">
        <v>403</v>
      </c>
      <c r="C2762" s="2"/>
      <c r="D2762" s="2"/>
    </row>
    <row r="2763" spans="1:4" outlineLevel="1" x14ac:dyDescent="0.25">
      <c r="A2763" t="s">
        <v>403</v>
      </c>
      <c r="B2763" t="s">
        <v>15</v>
      </c>
      <c r="C2763" s="1" t="str">
        <f>HYPERLINK("http://продеталь.рф/search.html?article=KAM1006AL","KAM1006AL")</f>
        <v>KAM1006AL</v>
      </c>
      <c r="D2763" t="s">
        <v>2</v>
      </c>
    </row>
    <row r="2764" spans="1:4" outlineLevel="1" x14ac:dyDescent="0.25">
      <c r="A2764" t="s">
        <v>403</v>
      </c>
      <c r="B2764" t="s">
        <v>23</v>
      </c>
      <c r="C2764" s="1" t="str">
        <f>HYPERLINK("http://продеталь.рф/search.html?article=ZKA1940R","ZKA1940R")</f>
        <v>ZKA1940R</v>
      </c>
      <c r="D2764" t="s">
        <v>6</v>
      </c>
    </row>
    <row r="2765" spans="1:4" outlineLevel="1" x14ac:dyDescent="0.25">
      <c r="A2765" t="s">
        <v>403</v>
      </c>
      <c r="B2765" t="s">
        <v>35</v>
      </c>
      <c r="C2765" s="1" t="str">
        <f>HYPERLINK("http://продеталь.рф/search.html?article=533KAS012","533KAS012")</f>
        <v>533KAS012</v>
      </c>
      <c r="D2765" t="s">
        <v>4</v>
      </c>
    </row>
    <row r="2766" spans="1:4" outlineLevel="1" x14ac:dyDescent="0.25">
      <c r="A2766" t="s">
        <v>403</v>
      </c>
      <c r="B2766" t="s">
        <v>1</v>
      </c>
      <c r="C2766" s="1" t="str">
        <f>HYPERLINK("http://продеталь.рф/search.html?article=KA20010A","KA20010A")</f>
        <v>KA20010A</v>
      </c>
      <c r="D2766" t="s">
        <v>2</v>
      </c>
    </row>
    <row r="2767" spans="1:4" outlineLevel="1" x14ac:dyDescent="0.25">
      <c r="A2767" t="s">
        <v>403</v>
      </c>
      <c r="B2767" t="s">
        <v>24</v>
      </c>
      <c r="C2767" s="1" t="str">
        <f>HYPERLINK("http://продеталь.рф/search.html?article=PKA10011BR","PKA10011BR")</f>
        <v>PKA10011BR</v>
      </c>
      <c r="D2767" t="s">
        <v>6</v>
      </c>
    </row>
    <row r="2768" spans="1:4" outlineLevel="1" x14ac:dyDescent="0.25">
      <c r="A2768" t="s">
        <v>403</v>
      </c>
      <c r="B2768" t="s">
        <v>27</v>
      </c>
      <c r="C2768" s="1" t="str">
        <f>HYPERLINK("http://продеталь.рф/search.html?article=KA03003A","KA03003A")</f>
        <v>KA03003A</v>
      </c>
      <c r="D2768" t="s">
        <v>2</v>
      </c>
    </row>
    <row r="2769" spans="1:4" outlineLevel="1" x14ac:dyDescent="0.25">
      <c r="A2769" t="s">
        <v>403</v>
      </c>
      <c r="B2769" t="s">
        <v>3</v>
      </c>
      <c r="C2769" s="1" t="str">
        <f>HYPERLINK("http://продеталь.рф/search.html?article=ZKA1131L","ZKA1131L")</f>
        <v>ZKA1131L</v>
      </c>
      <c r="D2769" t="s">
        <v>6</v>
      </c>
    </row>
    <row r="2770" spans="1:4" outlineLevel="1" x14ac:dyDescent="0.25">
      <c r="A2770" t="s">
        <v>403</v>
      </c>
      <c r="B2770" t="s">
        <v>5</v>
      </c>
      <c r="C2770" s="1" t="str">
        <f>HYPERLINK("http://продеталь.рф/search.html?article=KA810016L1L00","KA810016L1L00")</f>
        <v>KA810016L1L00</v>
      </c>
      <c r="D2770" t="s">
        <v>9</v>
      </c>
    </row>
    <row r="2771" spans="1:4" outlineLevel="1" x14ac:dyDescent="0.25">
      <c r="A2771" t="s">
        <v>403</v>
      </c>
      <c r="B2771" t="s">
        <v>5</v>
      </c>
      <c r="C2771" s="1" t="str">
        <f>HYPERLINK("http://продеталь.рф/search.html?article=KA810016L1R00","KA810016L1R00")</f>
        <v>KA810016L1R00</v>
      </c>
      <c r="D2771" t="s">
        <v>9</v>
      </c>
    </row>
    <row r="2772" spans="1:4" outlineLevel="1" x14ac:dyDescent="0.25">
      <c r="A2772" t="s">
        <v>403</v>
      </c>
      <c r="B2772" t="s">
        <v>19</v>
      </c>
      <c r="C2772" s="1" t="str">
        <f>HYPERLINK("http://продеталь.рф/search.html?article=ZKA2013L","ZKA2013L")</f>
        <v>ZKA2013L</v>
      </c>
      <c r="D2772" t="s">
        <v>6</v>
      </c>
    </row>
    <row r="2773" spans="1:4" outlineLevel="1" x14ac:dyDescent="0.25">
      <c r="A2773" t="s">
        <v>403</v>
      </c>
      <c r="B2773" t="s">
        <v>19</v>
      </c>
      <c r="C2773" s="1" t="str">
        <f>HYPERLINK("http://продеталь.рф/search.html?article=ZKA2013R","ZKA2013R")</f>
        <v>ZKA2013R</v>
      </c>
      <c r="D2773" t="s">
        <v>6</v>
      </c>
    </row>
    <row r="2774" spans="1:4" outlineLevel="1" x14ac:dyDescent="0.25">
      <c r="A2774" t="s">
        <v>403</v>
      </c>
      <c r="B2774" t="s">
        <v>13</v>
      </c>
      <c r="C2774" s="1" t="str">
        <f>HYPERLINK("http://продеталь.рф/search.html?article=KA81000RA0","KA81000RA0")</f>
        <v>KA81000RA0</v>
      </c>
      <c r="D2774" t="s">
        <v>9</v>
      </c>
    </row>
    <row r="2775" spans="1:4" x14ac:dyDescent="0.25">
      <c r="A2775" t="s">
        <v>404</v>
      </c>
      <c r="B2775" s="2" t="s">
        <v>404</v>
      </c>
      <c r="C2775" s="2"/>
      <c r="D2775" s="2"/>
    </row>
    <row r="2776" spans="1:4" outlineLevel="1" x14ac:dyDescent="0.25">
      <c r="A2776" t="s">
        <v>404</v>
      </c>
      <c r="B2776" t="s">
        <v>11</v>
      </c>
      <c r="C2776" s="1" t="str">
        <f>HYPERLINK("http://продеталь.рф/search.html?article=KA04032BB","KA04032BB")</f>
        <v>KA04032BB</v>
      </c>
      <c r="D2776" t="s">
        <v>2</v>
      </c>
    </row>
    <row r="2777" spans="1:4" outlineLevel="1" x14ac:dyDescent="0.25">
      <c r="A2777" t="s">
        <v>404</v>
      </c>
      <c r="B2777" t="s">
        <v>1</v>
      </c>
      <c r="C2777" s="1" t="str">
        <f>HYPERLINK("http://продеталь.рф/search.html?article=GD99D88","GD99D88")</f>
        <v>GD99D88</v>
      </c>
      <c r="D2777" t="s">
        <v>36</v>
      </c>
    </row>
    <row r="2778" spans="1:4" outlineLevel="1" x14ac:dyDescent="0.25">
      <c r="A2778" t="s">
        <v>404</v>
      </c>
      <c r="B2778" t="s">
        <v>3</v>
      </c>
      <c r="C2778" s="1" t="str">
        <f>HYPERLINK("http://продеталь.рф/search.html?article=20C557001A","20C557001A")</f>
        <v>20C557001A</v>
      </c>
      <c r="D2778" t="s">
        <v>4</v>
      </c>
    </row>
    <row r="2779" spans="1:4" outlineLevel="1" x14ac:dyDescent="0.25">
      <c r="A2779" t="s">
        <v>404</v>
      </c>
      <c r="B2779" t="s">
        <v>5</v>
      </c>
      <c r="C2779" s="1" t="str">
        <f>HYPERLINK("http://продеталь.рф/search.html?article=210851","210851")</f>
        <v>210851</v>
      </c>
      <c r="D2779" t="s">
        <v>21</v>
      </c>
    </row>
    <row r="2780" spans="1:4" outlineLevel="1" x14ac:dyDescent="0.25">
      <c r="A2780" t="s">
        <v>404</v>
      </c>
      <c r="B2780" t="s">
        <v>5</v>
      </c>
      <c r="C2780" s="1" t="str">
        <f>HYPERLINK("http://продеталь.рф/search.html?article=210852","210852")</f>
        <v>210852</v>
      </c>
      <c r="D2780" t="s">
        <v>21</v>
      </c>
    </row>
    <row r="2781" spans="1:4" outlineLevel="1" x14ac:dyDescent="0.25">
      <c r="A2781" t="s">
        <v>404</v>
      </c>
      <c r="B2781" t="s">
        <v>19</v>
      </c>
      <c r="C2781" s="1" t="str">
        <f>HYPERLINK("http://продеталь.рф/search.html?article=19B028012B","19B028012B")</f>
        <v>19B028012B</v>
      </c>
      <c r="D2781" t="s">
        <v>4</v>
      </c>
    </row>
    <row r="2782" spans="1:4" outlineLevel="1" x14ac:dyDescent="0.25">
      <c r="A2782" t="s">
        <v>404</v>
      </c>
      <c r="B2782" t="s">
        <v>19</v>
      </c>
      <c r="C2782" s="1" t="str">
        <f>HYPERLINK("http://продеталь.рф/search.html?article=196056009A","196056009A")</f>
        <v>196056009A</v>
      </c>
      <c r="D2782" t="s">
        <v>4</v>
      </c>
    </row>
    <row r="2783" spans="1:4" outlineLevel="1" x14ac:dyDescent="0.25">
      <c r="A2783" t="s">
        <v>404</v>
      </c>
      <c r="B2783" t="s">
        <v>19</v>
      </c>
      <c r="C2783" s="1" t="str">
        <f>HYPERLINK("http://продеталь.рф/search.html?article=196055009A","196055009A")</f>
        <v>196055009A</v>
      </c>
      <c r="D2783" t="s">
        <v>4</v>
      </c>
    </row>
    <row r="2784" spans="1:4" outlineLevel="1" x14ac:dyDescent="0.25">
      <c r="A2784" t="s">
        <v>404</v>
      </c>
      <c r="B2784" t="s">
        <v>19</v>
      </c>
      <c r="C2784" s="1" t="str">
        <f>HYPERLINK("http://продеталь.рф/search.html?article=ZKA2022LK","ZKA2022LK")</f>
        <v>ZKA2022LK</v>
      </c>
      <c r="D2784" t="s">
        <v>6</v>
      </c>
    </row>
    <row r="2785" spans="1:4" outlineLevel="1" x14ac:dyDescent="0.25">
      <c r="A2785" t="s">
        <v>404</v>
      </c>
      <c r="B2785" t="s">
        <v>19</v>
      </c>
      <c r="C2785" s="1" t="str">
        <f>HYPERLINK("http://продеталь.рф/search.html?article=ZKA2022RK","ZKA2022RK")</f>
        <v>ZKA2022RK</v>
      </c>
      <c r="D2785" t="s">
        <v>6</v>
      </c>
    </row>
    <row r="2786" spans="1:4" x14ac:dyDescent="0.25">
      <c r="A2786" t="s">
        <v>405</v>
      </c>
      <c r="B2786" s="2" t="s">
        <v>405</v>
      </c>
      <c r="C2786" s="2"/>
      <c r="D2786" s="2"/>
    </row>
    <row r="2787" spans="1:4" outlineLevel="1" x14ac:dyDescent="0.25">
      <c r="A2787" t="s">
        <v>405</v>
      </c>
      <c r="B2787" t="s">
        <v>1</v>
      </c>
      <c r="C2787" s="1" t="str">
        <f>HYPERLINK("http://продеталь.рф/search.html?article=KA20032A","KA20032A")</f>
        <v>KA20032A</v>
      </c>
      <c r="D2787" t="s">
        <v>2</v>
      </c>
    </row>
    <row r="2788" spans="1:4" x14ac:dyDescent="0.25">
      <c r="A2788" t="s">
        <v>740</v>
      </c>
      <c r="B2788" s="2" t="s">
        <v>740</v>
      </c>
      <c r="C2788" s="2"/>
      <c r="D2788" s="2"/>
    </row>
    <row r="2789" spans="1:4" outlineLevel="1" x14ac:dyDescent="0.25">
      <c r="A2789" t="s">
        <v>740</v>
      </c>
      <c r="B2789" t="s">
        <v>3</v>
      </c>
      <c r="C2789" s="1" t="str">
        <f>HYPERLINK("http://продеталь.рф/search.html?article=201563016B","201563016B")</f>
        <v>201563016B</v>
      </c>
      <c r="D2789" t="s">
        <v>4</v>
      </c>
    </row>
    <row r="2790" spans="1:4" outlineLevel="1" x14ac:dyDescent="0.25">
      <c r="A2790" t="s">
        <v>740</v>
      </c>
      <c r="B2790" t="s">
        <v>3</v>
      </c>
      <c r="C2790" s="1" t="str">
        <f>HYPERLINK("http://продеталь.рф/search.html?article=201562016B","201562016B")</f>
        <v>201562016B</v>
      </c>
      <c r="D2790" t="s">
        <v>4</v>
      </c>
    </row>
    <row r="2791" spans="1:4" x14ac:dyDescent="0.25">
      <c r="A2791" t="s">
        <v>741</v>
      </c>
      <c r="B2791" s="2" t="s">
        <v>741</v>
      </c>
      <c r="C2791" s="2"/>
      <c r="D2791" s="2"/>
    </row>
    <row r="2792" spans="1:4" outlineLevel="1" x14ac:dyDescent="0.25">
      <c r="A2792" t="s">
        <v>741</v>
      </c>
      <c r="B2792" t="s">
        <v>16</v>
      </c>
      <c r="C2792" s="1" t="str">
        <f>HYPERLINK("http://продеталь.рф/search.html?article=183048052","183048052")</f>
        <v>183048052</v>
      </c>
      <c r="D2792" t="s">
        <v>4</v>
      </c>
    </row>
    <row r="2793" spans="1:4" x14ac:dyDescent="0.25">
      <c r="A2793" t="s">
        <v>406</v>
      </c>
      <c r="B2793" s="2" t="s">
        <v>406</v>
      </c>
      <c r="C2793" s="2"/>
      <c r="D2793" s="2"/>
    </row>
    <row r="2794" spans="1:4" outlineLevel="1" x14ac:dyDescent="0.25">
      <c r="A2794" t="s">
        <v>406</v>
      </c>
      <c r="B2794" t="s">
        <v>1</v>
      </c>
      <c r="C2794" s="1" t="str">
        <f>HYPERLINK("http://продеталь.рф/search.html?article=RV750150","RV750150")</f>
        <v>RV750150</v>
      </c>
      <c r="D2794" t="s">
        <v>9</v>
      </c>
    </row>
    <row r="2795" spans="1:4" x14ac:dyDescent="0.25">
      <c r="A2795" t="s">
        <v>407</v>
      </c>
      <c r="B2795" s="2" t="s">
        <v>407</v>
      </c>
      <c r="C2795" s="2"/>
      <c r="D2795" s="2"/>
    </row>
    <row r="2796" spans="1:4" outlineLevel="1" x14ac:dyDescent="0.25">
      <c r="A2796" t="s">
        <v>407</v>
      </c>
      <c r="B2796" t="s">
        <v>11</v>
      </c>
      <c r="C2796" s="1" t="str">
        <f>HYPERLINK("http://продеталь.рф/search.html?article=LX130000","LX130000")</f>
        <v>LX130000</v>
      </c>
      <c r="D2796" t="s">
        <v>9</v>
      </c>
    </row>
    <row r="2797" spans="1:4" outlineLevel="1" x14ac:dyDescent="0.25">
      <c r="A2797" t="s">
        <v>407</v>
      </c>
      <c r="B2797" t="s">
        <v>11</v>
      </c>
      <c r="C2797" s="1" t="str">
        <f>HYPERLINK("http://продеталь.рф/search.html?article=PTY04324BB","PTY04324BB")</f>
        <v>PTY04324BB</v>
      </c>
      <c r="D2797" t="s">
        <v>6</v>
      </c>
    </row>
    <row r="2798" spans="1:4" outlineLevel="1" x14ac:dyDescent="0.25">
      <c r="A2798" t="s">
        <v>407</v>
      </c>
      <c r="B2798" t="s">
        <v>35</v>
      </c>
      <c r="C2798" s="1" t="str">
        <f>HYPERLINK("http://продеталь.рф/search.html?article=TY33028AL","TY33028AL")</f>
        <v>TY33028AL</v>
      </c>
      <c r="D2798" t="s">
        <v>2</v>
      </c>
    </row>
    <row r="2799" spans="1:4" outlineLevel="1" x14ac:dyDescent="0.25">
      <c r="A2799" t="s">
        <v>407</v>
      </c>
      <c r="B2799" t="s">
        <v>35</v>
      </c>
      <c r="C2799" s="1" t="str">
        <f>HYPERLINK("http://продеталь.рф/search.html?article=TY33028AR","TY33028AR")</f>
        <v>TY33028AR</v>
      </c>
      <c r="D2799" t="s">
        <v>2</v>
      </c>
    </row>
    <row r="2800" spans="1:4" outlineLevel="1" x14ac:dyDescent="0.25">
      <c r="A2800" t="s">
        <v>407</v>
      </c>
      <c r="B2800" t="s">
        <v>24</v>
      </c>
      <c r="C2800" s="1" t="str">
        <f>HYPERLINK("http://продеталь.рф/search.html?article=TY10196AL","TY10196AL")</f>
        <v>TY10196AL</v>
      </c>
      <c r="D2800" t="s">
        <v>2</v>
      </c>
    </row>
    <row r="2801" spans="1:4" outlineLevel="1" x14ac:dyDescent="0.25">
      <c r="A2801" t="s">
        <v>407</v>
      </c>
      <c r="B2801" t="s">
        <v>3</v>
      </c>
      <c r="C2801" s="1" t="str">
        <f>HYPERLINK("http://продеталь.рф/search.html?article=20651000","20651000")</f>
        <v>20651000</v>
      </c>
      <c r="D2801" t="s">
        <v>4</v>
      </c>
    </row>
    <row r="2802" spans="1:4" outlineLevel="1" x14ac:dyDescent="0.25">
      <c r="A2802" t="s">
        <v>407</v>
      </c>
      <c r="B2802" t="s">
        <v>3</v>
      </c>
      <c r="C2802" s="1" t="str">
        <f>HYPERLINK("http://продеталь.рф/search.html?article=20650900","20650900")</f>
        <v>20650900</v>
      </c>
      <c r="D2802" t="s">
        <v>4</v>
      </c>
    </row>
    <row r="2803" spans="1:4" outlineLevel="1" x14ac:dyDescent="0.25">
      <c r="A2803" t="s">
        <v>407</v>
      </c>
      <c r="B2803" t="s">
        <v>19</v>
      </c>
      <c r="C2803" s="1" t="str">
        <f>HYPERLINK("http://продеталь.рф/search.html?article=19559600","19559600")</f>
        <v>19559600</v>
      </c>
      <c r="D2803" t="s">
        <v>4</v>
      </c>
    </row>
    <row r="2804" spans="1:4" outlineLevel="1" x14ac:dyDescent="0.25">
      <c r="A2804" t="s">
        <v>407</v>
      </c>
      <c r="B2804" t="s">
        <v>19</v>
      </c>
      <c r="C2804" s="1" t="str">
        <f>HYPERLINK("http://продеталь.рф/search.html?article=19559500","19559500")</f>
        <v>19559500</v>
      </c>
      <c r="D2804" t="s">
        <v>4</v>
      </c>
    </row>
    <row r="2805" spans="1:4" outlineLevel="1" x14ac:dyDescent="0.25">
      <c r="A2805" t="s">
        <v>407</v>
      </c>
      <c r="B2805" t="s">
        <v>64</v>
      </c>
      <c r="C2805" s="1" t="str">
        <f>HYPERLINK("http://продеталь.рф/search.html?article=18594400","18594400")</f>
        <v>18594400</v>
      </c>
      <c r="D2805" t="s">
        <v>4</v>
      </c>
    </row>
    <row r="2806" spans="1:4" outlineLevel="1" x14ac:dyDescent="0.25">
      <c r="A2806" t="s">
        <v>407</v>
      </c>
      <c r="B2806" t="s">
        <v>64</v>
      </c>
      <c r="C2806" s="1" t="str">
        <f>HYPERLINK("http://продеталь.рф/search.html?article=18594300","18594300")</f>
        <v>18594300</v>
      </c>
      <c r="D2806" t="s">
        <v>4</v>
      </c>
    </row>
    <row r="2807" spans="1:4" outlineLevel="1" x14ac:dyDescent="0.25">
      <c r="A2807" t="s">
        <v>407</v>
      </c>
      <c r="B2807" t="s">
        <v>13</v>
      </c>
      <c r="C2807" s="1" t="str">
        <f>HYPERLINK("http://продеталь.рф/search.html?article=LX13000R0","LX13000R0")</f>
        <v>LX13000R0</v>
      </c>
      <c r="D2807" t="s">
        <v>9</v>
      </c>
    </row>
    <row r="2808" spans="1:4" x14ac:dyDescent="0.25">
      <c r="A2808" t="s">
        <v>408</v>
      </c>
      <c r="B2808" s="2" t="s">
        <v>408</v>
      </c>
      <c r="C2808" s="2"/>
      <c r="D2808" s="2"/>
    </row>
    <row r="2809" spans="1:4" outlineLevel="1" x14ac:dyDescent="0.25">
      <c r="A2809" t="s">
        <v>408</v>
      </c>
      <c r="B2809" t="s">
        <v>3</v>
      </c>
      <c r="C2809" s="1" t="str">
        <f>HYPERLINK("http://продеталь.рф/search.html?article=206899051A","206899051A")</f>
        <v>206899051A</v>
      </c>
      <c r="D2809" t="s">
        <v>4</v>
      </c>
    </row>
    <row r="2810" spans="1:4" x14ac:dyDescent="0.25">
      <c r="A2810" t="s">
        <v>409</v>
      </c>
      <c r="B2810" s="2" t="s">
        <v>409</v>
      </c>
      <c r="C2810" s="2"/>
      <c r="D2810" s="2"/>
    </row>
    <row r="2811" spans="1:4" outlineLevel="1" x14ac:dyDescent="0.25">
      <c r="A2811" t="s">
        <v>409</v>
      </c>
      <c r="B2811" t="s">
        <v>11</v>
      </c>
      <c r="C2811" s="1" t="str">
        <f>HYPERLINK("http://продеталь.рф/search.html?article=TY04151BB","TY04151BB")</f>
        <v>TY04151BB</v>
      </c>
      <c r="D2811" t="s">
        <v>2</v>
      </c>
    </row>
    <row r="2812" spans="1:4" outlineLevel="1" x14ac:dyDescent="0.25">
      <c r="A2812" t="s">
        <v>409</v>
      </c>
      <c r="B2812" t="s">
        <v>35</v>
      </c>
      <c r="C2812" s="1" t="str">
        <f>HYPERLINK("http://продеталь.рф/search.html?article=LX31002500000","LX31002500000")</f>
        <v>LX31002500000</v>
      </c>
      <c r="D2812" t="s">
        <v>9</v>
      </c>
    </row>
    <row r="2813" spans="1:4" outlineLevel="1" x14ac:dyDescent="0.25">
      <c r="A2813" t="s">
        <v>409</v>
      </c>
      <c r="B2813" t="s">
        <v>24</v>
      </c>
      <c r="C2813" s="1" t="str">
        <f>HYPERLINK("http://продеталь.рф/search.html?article=LX310161","LX310161")</f>
        <v>LX310161</v>
      </c>
      <c r="D2813" t="s">
        <v>9</v>
      </c>
    </row>
    <row r="2814" spans="1:4" outlineLevel="1" x14ac:dyDescent="0.25">
      <c r="A2814" t="s">
        <v>409</v>
      </c>
      <c r="B2814" t="s">
        <v>5</v>
      </c>
      <c r="C2814" s="1" t="str">
        <f>HYPERLINK("http://продеталь.рф/search.html?article=LX31016L2","LX31016L2")</f>
        <v>LX31016L2</v>
      </c>
      <c r="D2814" t="s">
        <v>9</v>
      </c>
    </row>
    <row r="2815" spans="1:4" outlineLevel="1" x14ac:dyDescent="0.25">
      <c r="A2815" t="s">
        <v>409</v>
      </c>
      <c r="B2815" t="s">
        <v>5</v>
      </c>
      <c r="C2815" s="1" t="str">
        <f>HYPERLINK("http://продеталь.рф/search.html?article=LX31016L1","LX31016L1")</f>
        <v>LX31016L1</v>
      </c>
      <c r="D2815" t="s">
        <v>9</v>
      </c>
    </row>
    <row r="2816" spans="1:4" outlineLevel="1" x14ac:dyDescent="0.25">
      <c r="A2816" t="s">
        <v>409</v>
      </c>
      <c r="B2816" t="s">
        <v>13</v>
      </c>
      <c r="C2816" s="1" t="str">
        <f>HYPERLINK("http://продеталь.рф/search.html?article=LX31000R0","LX31000R0")</f>
        <v>LX31000R0</v>
      </c>
      <c r="D2816" t="s">
        <v>9</v>
      </c>
    </row>
    <row r="2817" spans="1:4" x14ac:dyDescent="0.25">
      <c r="A2817" t="s">
        <v>410</v>
      </c>
      <c r="B2817" s="2" t="s">
        <v>410</v>
      </c>
      <c r="C2817" s="2"/>
      <c r="D2817" s="2"/>
    </row>
    <row r="2818" spans="1:4" outlineLevel="1" x14ac:dyDescent="0.25">
      <c r="A2818" t="s">
        <v>410</v>
      </c>
      <c r="B2818" t="s">
        <v>1</v>
      </c>
      <c r="C2818" s="1" t="str">
        <f>HYPERLINK("http://продеталь.рф/search.html?article=PTY20147A","PTY20147A")</f>
        <v>PTY20147A</v>
      </c>
      <c r="D2818" t="s">
        <v>6</v>
      </c>
    </row>
    <row r="2819" spans="1:4" outlineLevel="1" x14ac:dyDescent="0.25">
      <c r="A2819" t="s">
        <v>410</v>
      </c>
      <c r="B2819" t="s">
        <v>84</v>
      </c>
      <c r="C2819" s="1" t="str">
        <f>HYPERLINK("http://продеталь.рф/search.html?article=LX320000T1L00","LX320000T1L00")</f>
        <v>LX320000T1L00</v>
      </c>
      <c r="D2819" t="s">
        <v>9</v>
      </c>
    </row>
    <row r="2820" spans="1:4" outlineLevel="1" x14ac:dyDescent="0.25">
      <c r="A2820" t="s">
        <v>410</v>
      </c>
      <c r="B2820" t="s">
        <v>84</v>
      </c>
      <c r="C2820" s="1" t="str">
        <f>HYPERLINK("http://продеталь.рф/search.html?article=LX320000T1R00","LX320000T1R00")</f>
        <v>LX320000T1R00</v>
      </c>
      <c r="D2820" t="s">
        <v>9</v>
      </c>
    </row>
    <row r="2821" spans="1:4" outlineLevel="1" x14ac:dyDescent="0.25">
      <c r="A2821" t="s">
        <v>410</v>
      </c>
      <c r="B2821" t="s">
        <v>24</v>
      </c>
      <c r="C2821" s="1" t="str">
        <f>HYPERLINK("http://продеталь.рф/search.html?article=99653L","99653L")</f>
        <v>99653L</v>
      </c>
      <c r="D2821" t="s">
        <v>36</v>
      </c>
    </row>
    <row r="2822" spans="1:4" outlineLevel="1" x14ac:dyDescent="0.25">
      <c r="A2822" t="s">
        <v>410</v>
      </c>
      <c r="B2822" t="s">
        <v>5</v>
      </c>
      <c r="C2822" s="1" t="str">
        <f>HYPERLINK("http://продеталь.рф/search.html?article=TY11233AL","TY11233AL")</f>
        <v>TY11233AL</v>
      </c>
      <c r="D2822" t="s">
        <v>2</v>
      </c>
    </row>
    <row r="2823" spans="1:4" outlineLevel="1" x14ac:dyDescent="0.25">
      <c r="A2823" t="s">
        <v>410</v>
      </c>
      <c r="B2823" t="s">
        <v>55</v>
      </c>
      <c r="C2823" s="1" t="str">
        <f>HYPERLINK("http://продеталь.рф/search.html?article=PTY07399FA","PTY07399FA")</f>
        <v>PTY07399FA</v>
      </c>
      <c r="D2823" t="s">
        <v>6</v>
      </c>
    </row>
    <row r="2824" spans="1:4" x14ac:dyDescent="0.25">
      <c r="A2824" t="s">
        <v>411</v>
      </c>
      <c r="B2824" s="2" t="s">
        <v>411</v>
      </c>
      <c r="C2824" s="2"/>
      <c r="D2824" s="2"/>
    </row>
    <row r="2825" spans="1:4" outlineLevel="1" x14ac:dyDescent="0.25">
      <c r="A2825" t="s">
        <v>411</v>
      </c>
      <c r="B2825" t="s">
        <v>79</v>
      </c>
      <c r="C2825" s="1" t="str">
        <f>HYPERLINK("http://продеталь.рф/search.html?article=LX200040","LX200040")</f>
        <v>LX200040</v>
      </c>
      <c r="D2825" t="s">
        <v>9</v>
      </c>
    </row>
    <row r="2826" spans="1:4" outlineLevel="1" x14ac:dyDescent="0.25">
      <c r="A2826" t="s">
        <v>411</v>
      </c>
      <c r="B2826" t="s">
        <v>1</v>
      </c>
      <c r="C2826" s="1" t="str">
        <f>HYPERLINK("http://продеталь.рф/search.html?article=TY20090A","TY20090A")</f>
        <v>TY20090A</v>
      </c>
      <c r="D2826" t="s">
        <v>2</v>
      </c>
    </row>
    <row r="2827" spans="1:4" x14ac:dyDescent="0.25">
      <c r="A2827" t="s">
        <v>412</v>
      </c>
      <c r="B2827" s="2" t="s">
        <v>412</v>
      </c>
      <c r="C2827" s="2"/>
      <c r="D2827" s="2"/>
    </row>
    <row r="2828" spans="1:4" outlineLevel="1" x14ac:dyDescent="0.25">
      <c r="A2828" t="s">
        <v>412</v>
      </c>
      <c r="B2828" t="s">
        <v>11</v>
      </c>
      <c r="C2828" s="1" t="str">
        <f>HYPERLINK("http://продеталь.рф/search.html?article=PTY04311BC","PTY04311BC")</f>
        <v>PTY04311BC</v>
      </c>
      <c r="D2828" t="s">
        <v>6</v>
      </c>
    </row>
    <row r="2829" spans="1:4" outlineLevel="1" x14ac:dyDescent="0.25">
      <c r="A2829" t="s">
        <v>412</v>
      </c>
      <c r="B2829" t="s">
        <v>24</v>
      </c>
      <c r="C2829" s="1" t="str">
        <f>HYPERLINK("http://продеталь.рф/search.html?article=PTY10216AL","PTY10216AL")</f>
        <v>PTY10216AL</v>
      </c>
      <c r="D2829" t="s">
        <v>6</v>
      </c>
    </row>
    <row r="2830" spans="1:4" outlineLevel="1" x14ac:dyDescent="0.25">
      <c r="A2830" t="s">
        <v>412</v>
      </c>
      <c r="B2830" t="s">
        <v>5</v>
      </c>
      <c r="C2830" s="1" t="str">
        <f>HYPERLINK("http://продеталь.рф/search.html?article=TY11216AR","TY11216AR")</f>
        <v>TY11216AR</v>
      </c>
      <c r="D2830" t="s">
        <v>2</v>
      </c>
    </row>
    <row r="2831" spans="1:4" outlineLevel="1" x14ac:dyDescent="0.25">
      <c r="A2831" t="s">
        <v>412</v>
      </c>
      <c r="B2831" t="s">
        <v>19</v>
      </c>
      <c r="C2831" s="1" t="str">
        <f>HYPERLINK("http://продеталь.рф/search.html?article=195884011A","195884011A")</f>
        <v>195884011A</v>
      </c>
      <c r="D2831" t="s">
        <v>4</v>
      </c>
    </row>
    <row r="2832" spans="1:4" outlineLevel="1" x14ac:dyDescent="0.25">
      <c r="A2832" t="s">
        <v>412</v>
      </c>
      <c r="B2832" t="s">
        <v>19</v>
      </c>
      <c r="C2832" s="1" t="str">
        <f>HYPERLINK("http://продеталь.рф/search.html?article=195883011A","195883011A")</f>
        <v>195883011A</v>
      </c>
      <c r="D2832" t="s">
        <v>4</v>
      </c>
    </row>
    <row r="2833" spans="1:4" outlineLevel="1" x14ac:dyDescent="0.25">
      <c r="A2833" t="s">
        <v>412</v>
      </c>
      <c r="B2833" t="s">
        <v>12</v>
      </c>
      <c r="C2833" s="1" t="str">
        <f>HYPERLINK("http://продеталь.рф/search.html?article=PTY07400GA","PTY07400GA")</f>
        <v>PTY07400GA</v>
      </c>
      <c r="D2833" t="s">
        <v>6</v>
      </c>
    </row>
    <row r="2834" spans="1:4" outlineLevel="1" x14ac:dyDescent="0.25">
      <c r="A2834" t="s">
        <v>412</v>
      </c>
      <c r="B2834" t="s">
        <v>71</v>
      </c>
      <c r="C2834" s="1" t="str">
        <f>HYPERLINK("http://продеталь.рф/search.html?article=GD6967L","GD6967L")</f>
        <v>GD6967L</v>
      </c>
      <c r="D2834" t="s">
        <v>2</v>
      </c>
    </row>
    <row r="2835" spans="1:4" outlineLevel="1" x14ac:dyDescent="0.25">
      <c r="A2835" t="s">
        <v>412</v>
      </c>
      <c r="B2835" t="s">
        <v>13</v>
      </c>
      <c r="C2835" s="1" t="str">
        <f>HYPERLINK("http://продеталь.рф/search.html?article=PTY44375A","PTY44375A")</f>
        <v>PTY44375A</v>
      </c>
      <c r="D2835" t="s">
        <v>6</v>
      </c>
    </row>
    <row r="2836" spans="1:4" x14ac:dyDescent="0.25">
      <c r="A2836" t="s">
        <v>413</v>
      </c>
      <c r="B2836" s="2" t="s">
        <v>413</v>
      </c>
      <c r="C2836" s="2"/>
      <c r="D2836" s="2"/>
    </row>
    <row r="2837" spans="1:4" outlineLevel="1" x14ac:dyDescent="0.25">
      <c r="A2837" t="s">
        <v>413</v>
      </c>
      <c r="B2837" t="s">
        <v>74</v>
      </c>
      <c r="C2837" s="1" t="str">
        <f>HYPERLINK("http://продеталь.рф/search.html?article=682TYA004","682TYA004")</f>
        <v>682TYA004</v>
      </c>
      <c r="D2837" t="s">
        <v>4</v>
      </c>
    </row>
    <row r="2838" spans="1:4" outlineLevel="1" x14ac:dyDescent="0.25">
      <c r="A2838" t="s">
        <v>413</v>
      </c>
      <c r="B2838" t="s">
        <v>74</v>
      </c>
      <c r="C2838" s="1" t="str">
        <f>HYPERLINK("http://продеталь.рф/search.html?article=682LXA001","682LXA001")</f>
        <v>682LXA001</v>
      </c>
      <c r="D2838" t="s">
        <v>4</v>
      </c>
    </row>
    <row r="2839" spans="1:4" outlineLevel="1" x14ac:dyDescent="0.25">
      <c r="A2839" t="s">
        <v>413</v>
      </c>
      <c r="B2839" t="s">
        <v>35</v>
      </c>
      <c r="C2839" s="1" t="str">
        <f>HYPERLINK("http://продеталь.рф/search.html?article=LX45002500000","LX45002500000")</f>
        <v>LX45002500000</v>
      </c>
      <c r="D2839" t="s">
        <v>9</v>
      </c>
    </row>
    <row r="2840" spans="1:4" outlineLevel="1" x14ac:dyDescent="0.25">
      <c r="A2840" t="s">
        <v>413</v>
      </c>
      <c r="B2840" t="s">
        <v>24</v>
      </c>
      <c r="C2840" s="1" t="str">
        <f>HYPERLINK("http://продеталь.рф/search.html?article=TY10119AL","TY10119AL")</f>
        <v>TY10119AL</v>
      </c>
      <c r="D2840" t="s">
        <v>2</v>
      </c>
    </row>
    <row r="2841" spans="1:4" outlineLevel="1" x14ac:dyDescent="0.25">
      <c r="A2841" t="s">
        <v>413</v>
      </c>
      <c r="B2841" t="s">
        <v>24</v>
      </c>
      <c r="C2841" s="1" t="str">
        <f>HYPERLINK("http://продеталь.рф/search.html?article=TY10119AR","TY10119AR")</f>
        <v>TY10119AR</v>
      </c>
      <c r="D2841" t="s">
        <v>2</v>
      </c>
    </row>
    <row r="2842" spans="1:4" outlineLevel="1" x14ac:dyDescent="0.25">
      <c r="A2842" t="s">
        <v>413</v>
      </c>
      <c r="B2842" t="s">
        <v>27</v>
      </c>
      <c r="C2842" s="1" t="str">
        <f>HYPERLINK("http://продеталь.рф/search.html?article=LX450090","LX450090")</f>
        <v>LX450090</v>
      </c>
      <c r="D2842" t="s">
        <v>9</v>
      </c>
    </row>
    <row r="2843" spans="1:4" outlineLevel="1" x14ac:dyDescent="0.25">
      <c r="A2843" t="s">
        <v>413</v>
      </c>
      <c r="B2843" t="s">
        <v>3</v>
      </c>
      <c r="C2843" s="1" t="str">
        <f>HYPERLINK("http://продеталь.рф/search.html?article=205807001A","205807001A")</f>
        <v>205807001A</v>
      </c>
      <c r="D2843" t="s">
        <v>4</v>
      </c>
    </row>
    <row r="2844" spans="1:4" outlineLevel="1" x14ac:dyDescent="0.25">
      <c r="A2844" t="s">
        <v>413</v>
      </c>
      <c r="B2844" t="s">
        <v>3</v>
      </c>
      <c r="C2844" s="1" t="str">
        <f>HYPERLINK("http://продеталь.рф/search.html?article=205807A01A","205807A01A")</f>
        <v>205807A01A</v>
      </c>
      <c r="D2844" t="s">
        <v>4</v>
      </c>
    </row>
    <row r="2845" spans="1:4" outlineLevel="1" x14ac:dyDescent="0.25">
      <c r="A2845" t="s">
        <v>413</v>
      </c>
      <c r="B2845" t="s">
        <v>3</v>
      </c>
      <c r="C2845" s="1" t="str">
        <f>HYPERLINK("http://продеталь.рф/search.html?article=205807011A","205807011A")</f>
        <v>205807011A</v>
      </c>
      <c r="D2845" t="s">
        <v>4</v>
      </c>
    </row>
    <row r="2846" spans="1:4" outlineLevel="1" x14ac:dyDescent="0.25">
      <c r="A2846" t="s">
        <v>413</v>
      </c>
      <c r="B2846" t="s">
        <v>139</v>
      </c>
      <c r="C2846" s="1" t="str">
        <f>HYPERLINK("http://продеталь.рф/search.html?article=PTY21091AL","PTY21091AL")</f>
        <v>PTY21091AL</v>
      </c>
      <c r="D2846" t="s">
        <v>6</v>
      </c>
    </row>
    <row r="2847" spans="1:4" outlineLevel="1" x14ac:dyDescent="0.25">
      <c r="A2847" t="s">
        <v>413</v>
      </c>
      <c r="B2847" t="s">
        <v>28</v>
      </c>
      <c r="C2847" s="1" t="str">
        <f>HYPERLINK("http://продеталь.рф/search.html?article=LX450050","LX450050")</f>
        <v>LX450050</v>
      </c>
      <c r="D2847" t="s">
        <v>9</v>
      </c>
    </row>
    <row r="2848" spans="1:4" outlineLevel="1" x14ac:dyDescent="0.25">
      <c r="A2848" t="s">
        <v>413</v>
      </c>
      <c r="B2848" t="s">
        <v>8</v>
      </c>
      <c r="C2848" s="1" t="str">
        <f>HYPERLINK("http://продеталь.рф/search.html?article=RC95005","RC95005")</f>
        <v>RC95005</v>
      </c>
      <c r="D2848" t="s">
        <v>6</v>
      </c>
    </row>
    <row r="2849" spans="1:4" outlineLevel="1" x14ac:dyDescent="0.25">
      <c r="A2849" t="s">
        <v>413</v>
      </c>
      <c r="B2849" t="s">
        <v>12</v>
      </c>
      <c r="C2849" s="1" t="str">
        <f>HYPERLINK("http://продеталь.рф/search.html?article=LX45093B0","LX45093B0")</f>
        <v>LX45093B0</v>
      </c>
      <c r="D2849" t="s">
        <v>9</v>
      </c>
    </row>
    <row r="2850" spans="1:4" outlineLevel="1" x14ac:dyDescent="0.25">
      <c r="A2850" t="s">
        <v>413</v>
      </c>
      <c r="B2850" t="s">
        <v>64</v>
      </c>
      <c r="C2850" s="1" t="str">
        <f>HYPERLINK("http://продеталь.рф/search.html?article=185988001A","185988001A")</f>
        <v>185988001A</v>
      </c>
      <c r="D2850" t="s">
        <v>4</v>
      </c>
    </row>
    <row r="2851" spans="1:4" outlineLevel="1" x14ac:dyDescent="0.25">
      <c r="A2851" t="s">
        <v>413</v>
      </c>
      <c r="B2851" t="s">
        <v>64</v>
      </c>
      <c r="C2851" s="1" t="str">
        <f>HYPERLINK("http://продеталь.рф/search.html?article=185987001A","185987001A")</f>
        <v>185987001A</v>
      </c>
      <c r="D2851" t="s">
        <v>4</v>
      </c>
    </row>
    <row r="2852" spans="1:4" outlineLevel="1" x14ac:dyDescent="0.25">
      <c r="A2852" t="s">
        <v>413</v>
      </c>
      <c r="B2852" t="s">
        <v>13</v>
      </c>
      <c r="C2852" s="1" t="str">
        <f>HYPERLINK("http://продеталь.рф/search.html?article=LX45000R0","LX45000R0")</f>
        <v>LX45000R0</v>
      </c>
      <c r="D2852" t="s">
        <v>9</v>
      </c>
    </row>
    <row r="2853" spans="1:4" x14ac:dyDescent="0.25">
      <c r="A2853" t="s">
        <v>414</v>
      </c>
      <c r="B2853" s="2" t="s">
        <v>414</v>
      </c>
      <c r="C2853" s="2"/>
      <c r="D2853" s="2"/>
    </row>
    <row r="2854" spans="1:4" outlineLevel="1" x14ac:dyDescent="0.25">
      <c r="A2854" t="s">
        <v>414</v>
      </c>
      <c r="B2854" t="s">
        <v>11</v>
      </c>
      <c r="C2854" s="1" t="str">
        <f>HYPERLINK("http://продеталь.рф/search.html?article=LX46000A0","LX46000A0")</f>
        <v>LX46000A0</v>
      </c>
      <c r="D2854" t="s">
        <v>9</v>
      </c>
    </row>
    <row r="2855" spans="1:4" outlineLevel="1" x14ac:dyDescent="0.25">
      <c r="A2855" t="s">
        <v>414</v>
      </c>
      <c r="B2855" t="s">
        <v>11</v>
      </c>
      <c r="C2855" s="1" t="str">
        <f>HYPERLINK("http://продеталь.рф/search.html?article=TY04275BA","TY04275BA")</f>
        <v>TY04275BA</v>
      </c>
      <c r="D2855" t="s">
        <v>2</v>
      </c>
    </row>
    <row r="2856" spans="1:4" outlineLevel="1" x14ac:dyDescent="0.25">
      <c r="A2856" t="s">
        <v>414</v>
      </c>
      <c r="B2856" t="s">
        <v>79</v>
      </c>
      <c r="C2856" s="1" t="str">
        <f>HYPERLINK("http://продеталь.рф/search.html?article=LX460040","LX460040")</f>
        <v>LX460040</v>
      </c>
      <c r="D2856" t="s">
        <v>9</v>
      </c>
    </row>
    <row r="2857" spans="1:4" outlineLevel="1" x14ac:dyDescent="0.25">
      <c r="A2857" t="s">
        <v>414</v>
      </c>
      <c r="B2857" t="s">
        <v>35</v>
      </c>
      <c r="C2857" s="1" t="str">
        <f>HYPERLINK("http://продеталь.рф/search.html?article=TY33058D","TY33058D")</f>
        <v>TY33058D</v>
      </c>
      <c r="D2857" t="s">
        <v>2</v>
      </c>
    </row>
    <row r="2858" spans="1:4" outlineLevel="1" x14ac:dyDescent="0.25">
      <c r="A2858" t="s">
        <v>414</v>
      </c>
      <c r="B2858" t="s">
        <v>1</v>
      </c>
      <c r="C2858" s="1" t="str">
        <f>HYPERLINK("http://продеталь.рф/search.html?article=LX460150","LX460150")</f>
        <v>LX460150</v>
      </c>
      <c r="D2858" t="s">
        <v>9</v>
      </c>
    </row>
    <row r="2859" spans="1:4" outlineLevel="1" x14ac:dyDescent="0.25">
      <c r="A2859" t="s">
        <v>414</v>
      </c>
      <c r="B2859" t="s">
        <v>84</v>
      </c>
      <c r="C2859" s="1" t="str">
        <f>HYPERLINK("http://продеталь.рф/search.html?article=TY43321A","TY43321A")</f>
        <v>TY43321A</v>
      </c>
      <c r="D2859" t="s">
        <v>2</v>
      </c>
    </row>
    <row r="2860" spans="1:4" outlineLevel="1" x14ac:dyDescent="0.25">
      <c r="A2860" t="s">
        <v>414</v>
      </c>
      <c r="B2860" t="s">
        <v>84</v>
      </c>
      <c r="C2860" s="1" t="str">
        <f>HYPERLINK("http://продеталь.рф/search.html?article=LX460021","LX460021")</f>
        <v>LX460021</v>
      </c>
      <c r="D2860" t="s">
        <v>9</v>
      </c>
    </row>
    <row r="2861" spans="1:4" outlineLevel="1" x14ac:dyDescent="0.25">
      <c r="A2861" t="s">
        <v>414</v>
      </c>
      <c r="B2861" t="s">
        <v>24</v>
      </c>
      <c r="C2861" s="1" t="str">
        <f>HYPERLINK("http://продеталь.рф/search.html?article=LX460162","LX460162")</f>
        <v>LX460162</v>
      </c>
      <c r="D2861" t="s">
        <v>9</v>
      </c>
    </row>
    <row r="2862" spans="1:4" outlineLevel="1" x14ac:dyDescent="0.25">
      <c r="A2862" t="s">
        <v>414</v>
      </c>
      <c r="B2862" t="s">
        <v>66</v>
      </c>
      <c r="C2862" s="1" t="str">
        <f>HYPERLINK("http://продеталь.рф/search.html?article=BK039","BK039")</f>
        <v>BK039</v>
      </c>
      <c r="D2862" t="s">
        <v>6</v>
      </c>
    </row>
    <row r="2863" spans="1:4" outlineLevel="1" x14ac:dyDescent="0.25">
      <c r="A2863" t="s">
        <v>414</v>
      </c>
      <c r="B2863" t="s">
        <v>3</v>
      </c>
      <c r="C2863" s="1" t="str">
        <f>HYPERLINK("http://продеталь.рф/search.html?article=ZTY1134L","ZTY1134L")</f>
        <v>ZTY1134L</v>
      </c>
      <c r="D2863" t="s">
        <v>6</v>
      </c>
    </row>
    <row r="2864" spans="1:4" outlineLevel="1" x14ac:dyDescent="0.25">
      <c r="A2864" t="s">
        <v>414</v>
      </c>
      <c r="B2864" t="s">
        <v>139</v>
      </c>
      <c r="C2864" s="1" t="str">
        <f>HYPERLINK("http://продеталь.рф/search.html?article=PTY21117AL","PTY21117AL")</f>
        <v>PTY21117AL</v>
      </c>
      <c r="D2864" t="s">
        <v>6</v>
      </c>
    </row>
    <row r="2865" spans="1:4" outlineLevel="1" x14ac:dyDescent="0.25">
      <c r="A2865" t="s">
        <v>414</v>
      </c>
      <c r="B2865" t="s">
        <v>139</v>
      </c>
      <c r="C2865" s="1" t="str">
        <f>HYPERLINK("http://продеталь.рф/search.html?article=PTY21117AR","PTY21117AR")</f>
        <v>PTY21117AR</v>
      </c>
      <c r="D2865" t="s">
        <v>6</v>
      </c>
    </row>
    <row r="2866" spans="1:4" outlineLevel="1" x14ac:dyDescent="0.25">
      <c r="A2866" t="s">
        <v>414</v>
      </c>
      <c r="B2866" t="s">
        <v>5</v>
      </c>
      <c r="C2866" s="1" t="str">
        <f>HYPERLINK("http://продеталь.рф/search.html?article=LX46016L2","LX46016L2")</f>
        <v>LX46016L2</v>
      </c>
      <c r="D2866" t="s">
        <v>9</v>
      </c>
    </row>
    <row r="2867" spans="1:4" outlineLevel="1" x14ac:dyDescent="0.25">
      <c r="A2867" t="s">
        <v>414</v>
      </c>
      <c r="B2867" t="s">
        <v>5</v>
      </c>
      <c r="C2867" s="1" t="str">
        <f>HYPERLINK("http://продеталь.рф/search.html?article=LX46016L1","LX46016L1")</f>
        <v>LX46016L1</v>
      </c>
      <c r="D2867" t="s">
        <v>9</v>
      </c>
    </row>
    <row r="2868" spans="1:4" outlineLevel="1" x14ac:dyDescent="0.25">
      <c r="A2868" t="s">
        <v>414</v>
      </c>
      <c r="B2868" t="s">
        <v>12</v>
      </c>
      <c r="C2868" s="1" t="str">
        <f>HYPERLINK("http://продеталь.рф/search.html?article=TY07320GA","TY07320GA")</f>
        <v>TY07320GA</v>
      </c>
      <c r="D2868" t="s">
        <v>2</v>
      </c>
    </row>
    <row r="2869" spans="1:4" outlineLevel="1" x14ac:dyDescent="0.25">
      <c r="A2869" t="s">
        <v>414</v>
      </c>
      <c r="B2869" t="s">
        <v>13</v>
      </c>
      <c r="C2869" s="1" t="str">
        <f>HYPERLINK("http://продеталь.рф/search.html?article=LX46000R0","LX46000R0")</f>
        <v>LX46000R0</v>
      </c>
      <c r="D2869" t="s">
        <v>9</v>
      </c>
    </row>
    <row r="2870" spans="1:4" outlineLevel="1" x14ac:dyDescent="0.25">
      <c r="A2870" t="s">
        <v>414</v>
      </c>
      <c r="B2870" t="s">
        <v>13</v>
      </c>
      <c r="C2870" s="1" t="str">
        <f>HYPERLINK("http://продеталь.рф/search.html?article=TY44371A","TY44371A")</f>
        <v>TY44371A</v>
      </c>
      <c r="D2870" t="s">
        <v>2</v>
      </c>
    </row>
    <row r="2871" spans="1:4" x14ac:dyDescent="0.25">
      <c r="A2871" t="s">
        <v>415</v>
      </c>
      <c r="B2871" s="2" t="s">
        <v>415</v>
      </c>
      <c r="C2871" s="2"/>
      <c r="D2871" s="2"/>
    </row>
    <row r="2872" spans="1:4" outlineLevel="1" x14ac:dyDescent="0.25">
      <c r="A2872" t="s">
        <v>415</v>
      </c>
      <c r="B2872" t="s">
        <v>11</v>
      </c>
      <c r="C2872" s="1" t="str">
        <f>HYPERLINK("http://продеталь.рф/search.html?article=LX46100003100","LX46100003100")</f>
        <v>LX46100003100</v>
      </c>
      <c r="D2872" t="s">
        <v>9</v>
      </c>
    </row>
    <row r="2873" spans="1:4" outlineLevel="1" x14ac:dyDescent="0.25">
      <c r="A2873" t="s">
        <v>415</v>
      </c>
      <c r="B2873" t="s">
        <v>84</v>
      </c>
      <c r="C2873" s="1" t="str">
        <f>HYPERLINK("http://продеталь.рф/search.html?article=PTY99130AR","PTY99130AR")</f>
        <v>PTY99130AR</v>
      </c>
      <c r="D2873" t="s">
        <v>6</v>
      </c>
    </row>
    <row r="2874" spans="1:4" outlineLevel="1" x14ac:dyDescent="0.25">
      <c r="A2874" t="s">
        <v>415</v>
      </c>
      <c r="B2874" t="s">
        <v>84</v>
      </c>
      <c r="C2874" s="1" t="str">
        <f>HYPERLINK("http://продеталь.рф/search.html?article=PTY99130AL","PTY99130AL")</f>
        <v>PTY99130AL</v>
      </c>
      <c r="D2874" t="s">
        <v>6</v>
      </c>
    </row>
    <row r="2875" spans="1:4" outlineLevel="1" x14ac:dyDescent="0.25">
      <c r="A2875" t="s">
        <v>415</v>
      </c>
      <c r="B2875" t="s">
        <v>66</v>
      </c>
      <c r="C2875" s="1" t="str">
        <f>HYPERLINK("http://продеталь.рф/search.html?article=BK122","BK122")</f>
        <v>BK122</v>
      </c>
      <c r="D2875" t="s">
        <v>6</v>
      </c>
    </row>
    <row r="2876" spans="1:4" outlineLevel="1" x14ac:dyDescent="0.25">
      <c r="A2876" t="s">
        <v>415</v>
      </c>
      <c r="B2876" t="s">
        <v>8</v>
      </c>
      <c r="C2876" s="1" t="str">
        <f>HYPERLINK("http://продеталь.рф/search.html?article=TY39111A","TY39111A")</f>
        <v>TY39111A</v>
      </c>
      <c r="D2876" t="s">
        <v>2</v>
      </c>
    </row>
    <row r="2877" spans="1:4" x14ac:dyDescent="0.25">
      <c r="A2877" t="s">
        <v>416</v>
      </c>
      <c r="B2877" s="2" t="s">
        <v>416</v>
      </c>
      <c r="C2877" s="2"/>
      <c r="D2877" s="2"/>
    </row>
    <row r="2878" spans="1:4" outlineLevel="1" x14ac:dyDescent="0.25">
      <c r="A2878" t="s">
        <v>416</v>
      </c>
      <c r="B2878" t="s">
        <v>11</v>
      </c>
      <c r="C2878" s="1" t="str">
        <f>HYPERLINK("http://продеталь.рф/search.html?article=MZ51100000000","MZ51100000000")</f>
        <v>MZ51100000000</v>
      </c>
      <c r="D2878" t="s">
        <v>9</v>
      </c>
    </row>
    <row r="2879" spans="1:4" outlineLevel="1" x14ac:dyDescent="0.25">
      <c r="A2879" t="s">
        <v>416</v>
      </c>
      <c r="B2879" t="s">
        <v>15</v>
      </c>
      <c r="C2879" s="1" t="str">
        <f>HYPERLINK("http://продеталь.рф/search.html?article=MZM1050BRE","MZM1050BRE")</f>
        <v>MZM1050BRE</v>
      </c>
      <c r="D2879" t="s">
        <v>2</v>
      </c>
    </row>
    <row r="2880" spans="1:4" outlineLevel="1" x14ac:dyDescent="0.25">
      <c r="A2880" t="s">
        <v>416</v>
      </c>
      <c r="B2880" t="s">
        <v>23</v>
      </c>
      <c r="C2880" s="1" t="str">
        <f>HYPERLINK("http://продеталь.рф/search.html?article=11B452012B","11B452012B")</f>
        <v>11B452012B</v>
      </c>
      <c r="D2880" t="s">
        <v>4</v>
      </c>
    </row>
    <row r="2881" spans="1:4" outlineLevel="1" x14ac:dyDescent="0.25">
      <c r="A2881" t="s">
        <v>416</v>
      </c>
      <c r="B2881" t="s">
        <v>23</v>
      </c>
      <c r="C2881" s="1" t="str">
        <f>HYPERLINK("http://продеталь.рф/search.html?article=11B451012B","11B451012B")</f>
        <v>11B451012B</v>
      </c>
      <c r="D2881" t="s">
        <v>4</v>
      </c>
    </row>
    <row r="2882" spans="1:4" outlineLevel="1" x14ac:dyDescent="0.25">
      <c r="A2882" t="s">
        <v>416</v>
      </c>
      <c r="B2882" t="s">
        <v>24</v>
      </c>
      <c r="C2882" s="1" t="str">
        <f>HYPERLINK("http://продеталь.рф/search.html?article=PMZ10069AL","PMZ10069AL")</f>
        <v>PMZ10069AL</v>
      </c>
      <c r="D2882" t="s">
        <v>6</v>
      </c>
    </row>
    <row r="2883" spans="1:4" outlineLevel="1" x14ac:dyDescent="0.25">
      <c r="A2883" t="s">
        <v>416</v>
      </c>
      <c r="B2883" t="s">
        <v>27</v>
      </c>
      <c r="C2883" s="1" t="str">
        <f>HYPERLINK("http://продеталь.рф/search.html?article=PMZ30005A","PMZ30005A")</f>
        <v>PMZ30005A</v>
      </c>
      <c r="D2883" t="s">
        <v>6</v>
      </c>
    </row>
    <row r="2884" spans="1:4" outlineLevel="1" x14ac:dyDescent="0.25">
      <c r="A2884" t="s">
        <v>416</v>
      </c>
      <c r="B2884" t="s">
        <v>3</v>
      </c>
      <c r="C2884" s="1" t="str">
        <f>HYPERLINK("http://продеталь.рф/search.html?article=20C031052B","20C031052B")</f>
        <v>20C031052B</v>
      </c>
      <c r="D2884" t="s">
        <v>4</v>
      </c>
    </row>
    <row r="2885" spans="1:4" outlineLevel="1" x14ac:dyDescent="0.25">
      <c r="A2885" t="s">
        <v>416</v>
      </c>
      <c r="B2885" t="s">
        <v>139</v>
      </c>
      <c r="C2885" s="1" t="str">
        <f>HYPERLINK("http://продеталь.рф/search.html?article=MZ21052AL","MZ21052AL")</f>
        <v>MZ21052AL</v>
      </c>
      <c r="D2885" t="s">
        <v>2</v>
      </c>
    </row>
    <row r="2886" spans="1:4" outlineLevel="1" x14ac:dyDescent="0.25">
      <c r="A2886" t="s">
        <v>416</v>
      </c>
      <c r="B2886" t="s">
        <v>139</v>
      </c>
      <c r="C2886" s="1" t="str">
        <f>HYPERLINK("http://продеталь.рф/search.html?article=MZ21052AR","MZ21052AR")</f>
        <v>MZ21052AR</v>
      </c>
      <c r="D2886" t="s">
        <v>2</v>
      </c>
    </row>
    <row r="2887" spans="1:4" outlineLevel="1" x14ac:dyDescent="0.25">
      <c r="A2887" t="s">
        <v>416</v>
      </c>
      <c r="B2887" t="s">
        <v>5</v>
      </c>
      <c r="C2887" s="1" t="str">
        <f>HYPERLINK("http://продеталь.рф/search.html?article=MZ11069AL","MZ11069AL")</f>
        <v>MZ11069AL</v>
      </c>
      <c r="D2887" t="s">
        <v>2</v>
      </c>
    </row>
    <row r="2888" spans="1:4" outlineLevel="1" x14ac:dyDescent="0.25">
      <c r="A2888" t="s">
        <v>416</v>
      </c>
      <c r="B2888" t="s">
        <v>5</v>
      </c>
      <c r="C2888" s="1" t="str">
        <f>HYPERLINK("http://продеталь.рф/search.html?article=MZ11069AR","MZ11069AR")</f>
        <v>MZ11069AR</v>
      </c>
      <c r="D2888" t="s">
        <v>2</v>
      </c>
    </row>
    <row r="2889" spans="1:4" outlineLevel="1" x14ac:dyDescent="0.25">
      <c r="A2889" t="s">
        <v>416</v>
      </c>
      <c r="B2889" t="s">
        <v>19</v>
      </c>
      <c r="C2889" s="1" t="str">
        <f>HYPERLINK("http://продеталь.рф/search.html?article=19A870A12B","19A870A12B")</f>
        <v>19A870A12B</v>
      </c>
      <c r="D2889" t="s">
        <v>4</v>
      </c>
    </row>
    <row r="2890" spans="1:4" outlineLevel="1" x14ac:dyDescent="0.25">
      <c r="A2890" t="s">
        <v>416</v>
      </c>
      <c r="B2890" t="s">
        <v>19</v>
      </c>
      <c r="C2890" s="1" t="str">
        <f>HYPERLINK("http://продеталь.рф/search.html?article=19A869A12B","19A869A12B")</f>
        <v>19A869A12B</v>
      </c>
      <c r="D2890" t="s">
        <v>4</v>
      </c>
    </row>
    <row r="2891" spans="1:4" outlineLevel="1" x14ac:dyDescent="0.25">
      <c r="A2891" t="s">
        <v>416</v>
      </c>
      <c r="B2891" t="s">
        <v>12</v>
      </c>
      <c r="C2891" s="1" t="str">
        <f>HYPERLINK("http://продеталь.рф/search.html?article=MZ07119GAV","MZ07119GAV")</f>
        <v>MZ07119GAV</v>
      </c>
      <c r="D2891" t="s">
        <v>2</v>
      </c>
    </row>
    <row r="2892" spans="1:4" outlineLevel="1" x14ac:dyDescent="0.25">
      <c r="A2892" t="s">
        <v>416</v>
      </c>
      <c r="B2892" t="s">
        <v>32</v>
      </c>
      <c r="C2892" s="1" t="str">
        <f>HYPERLINK("http://продеталь.рф/search.html?article=SMZM1032ER","SMZM1032ER")</f>
        <v>SMZM1032ER</v>
      </c>
      <c r="D2892" t="s">
        <v>6</v>
      </c>
    </row>
    <row r="2893" spans="1:4" x14ac:dyDescent="0.25">
      <c r="A2893" t="s">
        <v>417</v>
      </c>
      <c r="B2893" s="2" t="s">
        <v>417</v>
      </c>
      <c r="C2893" s="2"/>
      <c r="D2893" s="2"/>
    </row>
    <row r="2894" spans="1:4" outlineLevel="1" x14ac:dyDescent="0.25">
      <c r="A2894" t="s">
        <v>417</v>
      </c>
      <c r="B2894" t="s">
        <v>11</v>
      </c>
      <c r="C2894" s="1" t="str">
        <f>HYPERLINK("http://продеталь.рф/search.html?article=MZ04084BA","MZ04084BA")</f>
        <v>MZ04084BA</v>
      </c>
      <c r="D2894" t="s">
        <v>2</v>
      </c>
    </row>
    <row r="2895" spans="1:4" outlineLevel="1" x14ac:dyDescent="0.25">
      <c r="A2895" t="s">
        <v>417</v>
      </c>
      <c r="B2895" t="s">
        <v>11</v>
      </c>
      <c r="C2895" s="1" t="str">
        <f>HYPERLINK("http://продеталь.рф/search.html?article=MZ04091BA","MZ04091BA")</f>
        <v>MZ04091BA</v>
      </c>
      <c r="D2895" t="s">
        <v>2</v>
      </c>
    </row>
    <row r="2896" spans="1:4" outlineLevel="1" x14ac:dyDescent="0.25">
      <c r="A2896" t="s">
        <v>417</v>
      </c>
      <c r="B2896" t="s">
        <v>11</v>
      </c>
      <c r="C2896" s="1" t="str">
        <f>HYPERLINK("http://продеталь.рф/search.html?article=305MZR045","305MZR045")</f>
        <v>305MZR045</v>
      </c>
      <c r="D2896" t="s">
        <v>4</v>
      </c>
    </row>
    <row r="2897" spans="1:4" outlineLevel="1" x14ac:dyDescent="0.25">
      <c r="A2897" t="s">
        <v>417</v>
      </c>
      <c r="B2897" t="s">
        <v>11</v>
      </c>
      <c r="C2897" s="1" t="str">
        <f>HYPERLINK("http://продеталь.рф/search.html?article=MZ14300008000","MZ14300008000")</f>
        <v>MZ14300008000</v>
      </c>
      <c r="D2897" t="s">
        <v>9</v>
      </c>
    </row>
    <row r="2898" spans="1:4" outlineLevel="1" x14ac:dyDescent="0.25">
      <c r="A2898" t="s">
        <v>417</v>
      </c>
      <c r="B2898" t="s">
        <v>11</v>
      </c>
      <c r="C2898" s="1" t="str">
        <f>HYPERLINK("http://продеталь.рф/search.html?article=MZ04097BC","MZ04097BC")</f>
        <v>MZ04097BC</v>
      </c>
      <c r="D2898" t="s">
        <v>2</v>
      </c>
    </row>
    <row r="2899" spans="1:4" outlineLevel="1" x14ac:dyDescent="0.25">
      <c r="A2899" t="s">
        <v>417</v>
      </c>
      <c r="B2899" t="s">
        <v>15</v>
      </c>
      <c r="C2899" s="1" t="str">
        <f>HYPERLINK("http://продеталь.рф/search.html?article=3200026","3200026")</f>
        <v>3200026</v>
      </c>
      <c r="D2899" t="s">
        <v>4</v>
      </c>
    </row>
    <row r="2900" spans="1:4" outlineLevel="1" x14ac:dyDescent="0.25">
      <c r="A2900" t="s">
        <v>417</v>
      </c>
      <c r="B2900" t="s">
        <v>15</v>
      </c>
      <c r="C2900" s="1" t="str">
        <f>HYPERLINK("http://продеталь.рф/search.html?article=3200025","3200025")</f>
        <v>3200025</v>
      </c>
      <c r="D2900" t="s">
        <v>4</v>
      </c>
    </row>
    <row r="2901" spans="1:4" outlineLevel="1" x14ac:dyDescent="0.25">
      <c r="A2901" t="s">
        <v>417</v>
      </c>
      <c r="B2901" t="s">
        <v>79</v>
      </c>
      <c r="C2901" s="1" t="str">
        <f>HYPERLINK("http://продеталь.рф/search.html?article=MZV70040","MZV70040")</f>
        <v>MZV70040</v>
      </c>
      <c r="D2901" t="s">
        <v>9</v>
      </c>
    </row>
    <row r="2902" spans="1:4" outlineLevel="1" x14ac:dyDescent="0.25">
      <c r="A2902" t="s">
        <v>417</v>
      </c>
      <c r="B2902" t="s">
        <v>23</v>
      </c>
      <c r="C2902" s="1" t="str">
        <f>HYPERLINK("http://продеталь.рф/search.html?article=175220001A","175220001A")</f>
        <v>175220001A</v>
      </c>
      <c r="D2902" t="s">
        <v>4</v>
      </c>
    </row>
    <row r="2903" spans="1:4" outlineLevel="1" x14ac:dyDescent="0.25">
      <c r="A2903" t="s">
        <v>417</v>
      </c>
      <c r="B2903" t="s">
        <v>23</v>
      </c>
      <c r="C2903" s="1" t="str">
        <f>HYPERLINK("http://продеталь.рф/search.html?article=116117001A","116117001A")</f>
        <v>116117001A</v>
      </c>
      <c r="D2903" t="s">
        <v>4</v>
      </c>
    </row>
    <row r="2904" spans="1:4" outlineLevel="1" x14ac:dyDescent="0.25">
      <c r="A2904" t="s">
        <v>417</v>
      </c>
      <c r="B2904" t="s">
        <v>23</v>
      </c>
      <c r="C2904" s="1" t="str">
        <f>HYPERLINK("http://продеталь.рф/search.html?article=115350902","115350902")</f>
        <v>115350902</v>
      </c>
      <c r="D2904" t="s">
        <v>4</v>
      </c>
    </row>
    <row r="2905" spans="1:4" outlineLevel="1" x14ac:dyDescent="0.25">
      <c r="A2905" t="s">
        <v>417</v>
      </c>
      <c r="B2905" t="s">
        <v>23</v>
      </c>
      <c r="C2905" s="1" t="str">
        <f>HYPERLINK("http://продеталь.рф/search.html?article=115349902","115349902")</f>
        <v>115349902</v>
      </c>
      <c r="D2905" t="s">
        <v>4</v>
      </c>
    </row>
    <row r="2906" spans="1:4" outlineLevel="1" x14ac:dyDescent="0.25">
      <c r="A2906" t="s">
        <v>417</v>
      </c>
      <c r="B2906" t="s">
        <v>23</v>
      </c>
      <c r="C2906" s="1" t="str">
        <f>HYPERLINK("http://продеталь.рф/search.html?article=17522700","17522700")</f>
        <v>17522700</v>
      </c>
      <c r="D2906" t="s">
        <v>4</v>
      </c>
    </row>
    <row r="2907" spans="1:4" outlineLevel="1" x14ac:dyDescent="0.25">
      <c r="A2907" t="s">
        <v>417</v>
      </c>
      <c r="B2907" t="s">
        <v>23</v>
      </c>
      <c r="C2907" s="1" t="str">
        <f>HYPERLINK("http://продеталь.рф/search.html?article=116118A12B","116118A12B")</f>
        <v>116118A12B</v>
      </c>
      <c r="D2907" t="s">
        <v>4</v>
      </c>
    </row>
    <row r="2908" spans="1:4" outlineLevel="1" x14ac:dyDescent="0.25">
      <c r="A2908" t="s">
        <v>417</v>
      </c>
      <c r="B2908" t="s">
        <v>23</v>
      </c>
      <c r="C2908" s="1" t="str">
        <f>HYPERLINK("http://продеталь.рф/search.html?article=116117A12B","116117A12B")</f>
        <v>116117A12B</v>
      </c>
      <c r="D2908" t="s">
        <v>4</v>
      </c>
    </row>
    <row r="2909" spans="1:4" outlineLevel="1" x14ac:dyDescent="0.25">
      <c r="A2909" t="s">
        <v>417</v>
      </c>
      <c r="B2909" t="s">
        <v>331</v>
      </c>
      <c r="C2909" s="1" t="str">
        <f>HYPERLINK("http://продеталь.рф/search.html?article=PMZ22037A","PMZ22037A")</f>
        <v>PMZ22037A</v>
      </c>
      <c r="D2909" t="s">
        <v>6</v>
      </c>
    </row>
    <row r="2910" spans="1:4" outlineLevel="1" x14ac:dyDescent="0.25">
      <c r="A2910" t="s">
        <v>417</v>
      </c>
      <c r="B2910" t="s">
        <v>35</v>
      </c>
      <c r="C2910" s="1" t="str">
        <f>HYPERLINK("http://продеталь.рф/search.html?article=MZV70250","MZV70250")</f>
        <v>MZV70250</v>
      </c>
      <c r="D2910" t="s">
        <v>9</v>
      </c>
    </row>
    <row r="2911" spans="1:4" outlineLevel="1" x14ac:dyDescent="0.25">
      <c r="A2911" t="s">
        <v>417</v>
      </c>
      <c r="B2911" t="s">
        <v>35</v>
      </c>
      <c r="C2911" s="1" t="str">
        <f>HYPERLINK("http://продеталь.рф/search.html?article=MZ33001BL","MZ33001BL")</f>
        <v>MZ33001BL</v>
      </c>
      <c r="D2911" t="s">
        <v>2</v>
      </c>
    </row>
    <row r="2912" spans="1:4" outlineLevel="1" x14ac:dyDescent="0.25">
      <c r="A2912" t="s">
        <v>417</v>
      </c>
      <c r="B2912" t="s">
        <v>35</v>
      </c>
      <c r="C2912" s="1" t="str">
        <f>HYPERLINK("http://продеталь.рф/search.html?article=MZ33001BR","MZ33001BR")</f>
        <v>MZ33001BR</v>
      </c>
      <c r="D2912" t="s">
        <v>2</v>
      </c>
    </row>
    <row r="2913" spans="1:4" outlineLevel="1" x14ac:dyDescent="0.25">
      <c r="A2913" t="s">
        <v>417</v>
      </c>
      <c r="B2913" t="s">
        <v>1</v>
      </c>
      <c r="C2913" s="1" t="str">
        <f>HYPERLINK("http://продеталь.рф/search.html?article=MZV70150","MZV70150")</f>
        <v>MZV70150</v>
      </c>
      <c r="D2913" t="s">
        <v>9</v>
      </c>
    </row>
    <row r="2914" spans="1:4" outlineLevel="1" x14ac:dyDescent="0.25">
      <c r="A2914" t="s">
        <v>417</v>
      </c>
      <c r="B2914" t="s">
        <v>84</v>
      </c>
      <c r="C2914" s="1" t="str">
        <f>HYPERLINK("http://продеталь.рф/search.html?article=MZ43071AL","MZ43071AL")</f>
        <v>MZ43071AL</v>
      </c>
      <c r="D2914" t="s">
        <v>2</v>
      </c>
    </row>
    <row r="2915" spans="1:4" outlineLevel="1" x14ac:dyDescent="0.25">
      <c r="A2915" t="s">
        <v>417</v>
      </c>
      <c r="B2915" t="s">
        <v>103</v>
      </c>
      <c r="C2915" s="1" t="str">
        <f>HYPERLINK("http://продеталь.рф/search.html?article=MZV7000G1","MZV7000G1")</f>
        <v>MZV7000G1</v>
      </c>
      <c r="D2915" t="s">
        <v>9</v>
      </c>
    </row>
    <row r="2916" spans="1:4" outlineLevel="1" x14ac:dyDescent="0.25">
      <c r="A2916" t="s">
        <v>417</v>
      </c>
      <c r="B2916" t="s">
        <v>66</v>
      </c>
      <c r="C2916" s="1" t="str">
        <f>HYPERLINK("http://продеталь.рф/search.html?article=BK056","BK056")</f>
        <v>BK056</v>
      </c>
      <c r="D2916" t="s">
        <v>6</v>
      </c>
    </row>
    <row r="2917" spans="1:4" outlineLevel="1" x14ac:dyDescent="0.25">
      <c r="A2917" t="s">
        <v>417</v>
      </c>
      <c r="B2917" t="s">
        <v>25</v>
      </c>
      <c r="C2917" s="1" t="str">
        <f>HYPERLINK("http://продеталь.рф/search.html?article=MZ87004A","MZ87004A")</f>
        <v>MZ87004A</v>
      </c>
      <c r="D2917" t="s">
        <v>2</v>
      </c>
    </row>
    <row r="2918" spans="1:4" outlineLevel="1" x14ac:dyDescent="0.25">
      <c r="A2918" t="s">
        <v>417</v>
      </c>
      <c r="B2918" t="s">
        <v>147</v>
      </c>
      <c r="C2918" s="1" t="str">
        <f>HYPERLINK("http://продеталь.рф/search.html?article=186020001A","186020001A")</f>
        <v>186020001A</v>
      </c>
      <c r="D2918" t="s">
        <v>4</v>
      </c>
    </row>
    <row r="2919" spans="1:4" outlineLevel="1" x14ac:dyDescent="0.25">
      <c r="A2919" t="s">
        <v>417</v>
      </c>
      <c r="B2919" t="s">
        <v>147</v>
      </c>
      <c r="C2919" s="1" t="str">
        <f>HYPERLINK("http://продеталь.рф/search.html?article=186019001A","186019001A")</f>
        <v>186019001A</v>
      </c>
      <c r="D2919" t="s">
        <v>4</v>
      </c>
    </row>
    <row r="2920" spans="1:4" outlineLevel="1" x14ac:dyDescent="0.25">
      <c r="A2920" t="s">
        <v>417</v>
      </c>
      <c r="B2920" t="s">
        <v>3</v>
      </c>
      <c r="C2920" s="1" t="str">
        <f>HYPERLINK("http://продеталь.рф/search.html?article=200460052","200460052")</f>
        <v>200460052</v>
      </c>
      <c r="D2920" t="s">
        <v>4</v>
      </c>
    </row>
    <row r="2921" spans="1:4" outlineLevel="1" x14ac:dyDescent="0.25">
      <c r="A2921" t="s">
        <v>417</v>
      </c>
      <c r="B2921" t="s">
        <v>3</v>
      </c>
      <c r="C2921" s="1" t="str">
        <f>HYPERLINK("http://продеталь.рф/search.html?article=MZX0303001R","MZX0303001R")</f>
        <v>MZX0303001R</v>
      </c>
      <c r="D2921" t="s">
        <v>34</v>
      </c>
    </row>
    <row r="2922" spans="1:4" outlineLevel="1" x14ac:dyDescent="0.25">
      <c r="A2922" t="s">
        <v>417</v>
      </c>
      <c r="B2922" t="s">
        <v>139</v>
      </c>
      <c r="C2922" s="1" t="str">
        <f>HYPERLINK("http://продеталь.рф/search.html?article=MZ143015H0L00","MZ143015H0L00")</f>
        <v>MZ143015H0L00</v>
      </c>
      <c r="D2922" t="s">
        <v>9</v>
      </c>
    </row>
    <row r="2923" spans="1:4" outlineLevel="1" x14ac:dyDescent="0.25">
      <c r="A2923" t="s">
        <v>417</v>
      </c>
      <c r="B2923" t="s">
        <v>139</v>
      </c>
      <c r="C2923" s="1" t="str">
        <f>HYPERLINK("http://продеталь.рф/search.html?article=MZ143015H0R00","MZ143015H0R00")</f>
        <v>MZ143015H0R00</v>
      </c>
      <c r="D2923" t="s">
        <v>9</v>
      </c>
    </row>
    <row r="2924" spans="1:4" outlineLevel="1" x14ac:dyDescent="0.25">
      <c r="A2924" t="s">
        <v>417</v>
      </c>
      <c r="B2924" t="s">
        <v>139</v>
      </c>
      <c r="C2924" s="1" t="str">
        <f>HYPERLINK("http://продеталь.рф/search.html?article=MZ21043AR","MZ21043AR")</f>
        <v>MZ21043AR</v>
      </c>
      <c r="D2924" t="s">
        <v>2</v>
      </c>
    </row>
    <row r="2925" spans="1:4" outlineLevel="1" x14ac:dyDescent="0.25">
      <c r="A2925" t="s">
        <v>417</v>
      </c>
      <c r="B2925" t="s">
        <v>5</v>
      </c>
      <c r="C2925" s="1" t="str">
        <f>HYPERLINK("http://продеталь.рф/search.html?article=NCA1619111","NCA1619111")</f>
        <v>NCA1619111</v>
      </c>
      <c r="D2925" t="s">
        <v>2</v>
      </c>
    </row>
    <row r="2926" spans="1:4" outlineLevel="1" x14ac:dyDescent="0.25">
      <c r="A2926" t="s">
        <v>417</v>
      </c>
      <c r="B2926" t="s">
        <v>5</v>
      </c>
      <c r="C2926" s="1" t="str">
        <f>HYPERLINK("http://продеталь.рф/search.html?article=MZ11051BR","MZ11051BR")</f>
        <v>MZ11051BR</v>
      </c>
      <c r="D2926" t="s">
        <v>2</v>
      </c>
    </row>
    <row r="2927" spans="1:4" outlineLevel="1" x14ac:dyDescent="0.25">
      <c r="A2927" t="s">
        <v>417</v>
      </c>
      <c r="B2927" t="s">
        <v>19</v>
      </c>
      <c r="C2927" s="1" t="str">
        <f>HYPERLINK("http://продеталь.рф/search.html?article=1957600005B1","1957600005B1")</f>
        <v>1957600005B1</v>
      </c>
      <c r="D2927" t="s">
        <v>4</v>
      </c>
    </row>
    <row r="2928" spans="1:4" outlineLevel="1" x14ac:dyDescent="0.25">
      <c r="A2928" t="s">
        <v>417</v>
      </c>
      <c r="B2928" t="s">
        <v>19</v>
      </c>
      <c r="C2928" s="1" t="str">
        <f>HYPERLINK("http://продеталь.рф/search.html?article=1957590005B1","1957590005B1")</f>
        <v>1957590005B1</v>
      </c>
      <c r="D2928" t="s">
        <v>4</v>
      </c>
    </row>
    <row r="2929" spans="1:4" outlineLevel="1" x14ac:dyDescent="0.25">
      <c r="A2929" t="s">
        <v>417</v>
      </c>
      <c r="B2929" t="s">
        <v>19</v>
      </c>
      <c r="C2929" s="1" t="str">
        <f>HYPERLINK("http://продеталь.рф/search.html?article=19585405","19585405")</f>
        <v>19585405</v>
      </c>
      <c r="D2929" t="s">
        <v>4</v>
      </c>
    </row>
    <row r="2930" spans="1:4" outlineLevel="1" x14ac:dyDescent="0.25">
      <c r="A2930" t="s">
        <v>417</v>
      </c>
      <c r="B2930" t="s">
        <v>19</v>
      </c>
      <c r="C2930" s="1" t="str">
        <f>HYPERLINK("http://продеталь.рф/search.html?article=19585305","19585305")</f>
        <v>19585305</v>
      </c>
      <c r="D2930" t="s">
        <v>4</v>
      </c>
    </row>
    <row r="2931" spans="1:4" outlineLevel="1" x14ac:dyDescent="0.25">
      <c r="A2931" t="s">
        <v>417</v>
      </c>
      <c r="B2931" t="s">
        <v>19</v>
      </c>
      <c r="C2931" s="1" t="str">
        <f>HYPERLINK("http://продеталь.рф/search.html?article=19A868B12B","19A868B12B")</f>
        <v>19A868B12B</v>
      </c>
      <c r="D2931" t="s">
        <v>4</v>
      </c>
    </row>
    <row r="2932" spans="1:4" outlineLevel="1" x14ac:dyDescent="0.25">
      <c r="A2932" t="s">
        <v>417</v>
      </c>
      <c r="B2932" t="s">
        <v>19</v>
      </c>
      <c r="C2932" s="1" t="str">
        <f>HYPERLINK("http://продеталь.рф/search.html?article=19A867B12B","19A867B12B")</f>
        <v>19A867B12B</v>
      </c>
      <c r="D2932" t="s">
        <v>4</v>
      </c>
    </row>
    <row r="2933" spans="1:4" outlineLevel="1" x14ac:dyDescent="0.25">
      <c r="A2933" t="s">
        <v>417</v>
      </c>
      <c r="B2933" t="s">
        <v>8</v>
      </c>
      <c r="C2933" s="1" t="str">
        <f>HYPERLINK("http://продеталь.рф/search.html?article=RC94926","RC94926")</f>
        <v>RC94926</v>
      </c>
      <c r="D2933" t="s">
        <v>6</v>
      </c>
    </row>
    <row r="2934" spans="1:4" outlineLevel="1" x14ac:dyDescent="0.25">
      <c r="A2934" t="s">
        <v>417</v>
      </c>
      <c r="B2934" t="s">
        <v>39</v>
      </c>
      <c r="C2934" s="1" t="str">
        <f>HYPERLINK("http://продеталь.рф/search.html?article=AFMZ101","AFMZ101")</f>
        <v>AFMZ101</v>
      </c>
      <c r="D2934" t="s">
        <v>6</v>
      </c>
    </row>
    <row r="2935" spans="1:4" outlineLevel="1" x14ac:dyDescent="0.25">
      <c r="A2935" t="s">
        <v>417</v>
      </c>
      <c r="B2935" t="s">
        <v>40</v>
      </c>
      <c r="C2935" s="1" t="str">
        <f>HYPERLINK("http://продеталь.рф/search.html?article=PMZ99088GA","PMZ99088GA")</f>
        <v>PMZ99088GA</v>
      </c>
      <c r="D2935" t="s">
        <v>6</v>
      </c>
    </row>
    <row r="2936" spans="1:4" outlineLevel="1" x14ac:dyDescent="0.25">
      <c r="A2936" t="s">
        <v>417</v>
      </c>
      <c r="B2936" t="s">
        <v>40</v>
      </c>
      <c r="C2936" s="1" t="str">
        <f>HYPERLINK("http://продеталь.рф/search.html?article=MZ07102GA","MZ07102GA")</f>
        <v>MZ07102GA</v>
      </c>
      <c r="D2936" t="s">
        <v>2</v>
      </c>
    </row>
    <row r="2937" spans="1:4" outlineLevel="1" x14ac:dyDescent="0.25">
      <c r="A2937" t="s">
        <v>417</v>
      </c>
      <c r="B2937" t="s">
        <v>40</v>
      </c>
      <c r="C2937" s="1" t="str">
        <f>HYPERLINK("http://продеталь.рф/search.html?article=PMZ99103GA","PMZ99103GA")</f>
        <v>PMZ99103GA</v>
      </c>
      <c r="D2937" t="s">
        <v>6</v>
      </c>
    </row>
    <row r="2938" spans="1:4" outlineLevel="1" x14ac:dyDescent="0.25">
      <c r="A2938" t="s">
        <v>417</v>
      </c>
      <c r="B2938" t="s">
        <v>12</v>
      </c>
      <c r="C2938" s="1" t="str">
        <f>HYPERLINK("http://продеталь.рф/search.html?article=MZ07101GA","MZ07101GA")</f>
        <v>MZ07101GA</v>
      </c>
      <c r="D2938" t="s">
        <v>2</v>
      </c>
    </row>
    <row r="2939" spans="1:4" outlineLevel="1" x14ac:dyDescent="0.25">
      <c r="A2939" t="s">
        <v>417</v>
      </c>
      <c r="B2939" t="s">
        <v>12</v>
      </c>
      <c r="C2939" s="1" t="str">
        <f>HYPERLINK("http://продеталь.рф/search.html?article=MZ07104GA","MZ07104GA")</f>
        <v>MZ07104GA</v>
      </c>
      <c r="D2939" t="s">
        <v>2</v>
      </c>
    </row>
    <row r="2940" spans="1:4" outlineLevel="1" x14ac:dyDescent="0.25">
      <c r="A2940" t="s">
        <v>417</v>
      </c>
      <c r="B2940" t="s">
        <v>418</v>
      </c>
      <c r="C2940" s="1" t="str">
        <f>HYPERLINK("http://продеталь.рф/search.html?article=SMZ2008L","SMZ2008L")</f>
        <v>SMZ2008L</v>
      </c>
      <c r="D2940" t="s">
        <v>63</v>
      </c>
    </row>
    <row r="2941" spans="1:4" outlineLevel="1" x14ac:dyDescent="0.25">
      <c r="A2941" t="s">
        <v>417</v>
      </c>
      <c r="B2941" t="s">
        <v>418</v>
      </c>
      <c r="C2941" s="1" t="str">
        <f>HYPERLINK("http://продеталь.рф/search.html?article=SMZ2008R","SMZ2008R")</f>
        <v>SMZ2008R</v>
      </c>
      <c r="D2941" t="s">
        <v>63</v>
      </c>
    </row>
    <row r="2942" spans="1:4" outlineLevel="1" x14ac:dyDescent="0.25">
      <c r="A2942" t="s">
        <v>417</v>
      </c>
      <c r="B2942" t="s">
        <v>13</v>
      </c>
      <c r="C2942" s="1" t="str">
        <f>HYPERLINK("http://продеталь.рф/search.html?article=MZ44071A","MZ44071A")</f>
        <v>MZ44071A</v>
      </c>
      <c r="D2942" t="s">
        <v>2</v>
      </c>
    </row>
    <row r="2943" spans="1:4" outlineLevel="1" x14ac:dyDescent="0.25">
      <c r="A2943" t="s">
        <v>417</v>
      </c>
      <c r="B2943" t="s">
        <v>13</v>
      </c>
      <c r="C2943" s="1" t="str">
        <f>HYPERLINK("http://продеталь.рф/search.html?article=PMZ44075A","PMZ44075A")</f>
        <v>PMZ44075A</v>
      </c>
      <c r="D2943" t="s">
        <v>6</v>
      </c>
    </row>
    <row r="2944" spans="1:4" outlineLevel="1" x14ac:dyDescent="0.25">
      <c r="A2944" t="s">
        <v>417</v>
      </c>
      <c r="B2944" t="s">
        <v>13</v>
      </c>
      <c r="C2944" s="1" t="str">
        <f>HYPERLINK("http://продеталь.рф/search.html?article=PMZ44099A","PMZ44099A")</f>
        <v>PMZ44099A</v>
      </c>
      <c r="D2944" t="s">
        <v>6</v>
      </c>
    </row>
    <row r="2945" spans="1:4" x14ac:dyDescent="0.25">
      <c r="A2945" t="s">
        <v>419</v>
      </c>
      <c r="B2945" s="2" t="s">
        <v>419</v>
      </c>
      <c r="C2945" s="2"/>
      <c r="D2945" s="2"/>
    </row>
    <row r="2946" spans="1:4" outlineLevel="1" x14ac:dyDescent="0.25">
      <c r="A2946" t="s">
        <v>419</v>
      </c>
      <c r="B2946" t="s">
        <v>11</v>
      </c>
      <c r="C2946" s="1" t="str">
        <f>HYPERLINK("http://продеталь.рф/search.html?article=MZ04115BC","MZ04115BC")</f>
        <v>MZ04115BC</v>
      </c>
      <c r="D2946" t="s">
        <v>2</v>
      </c>
    </row>
    <row r="2947" spans="1:4" outlineLevel="1" x14ac:dyDescent="0.25">
      <c r="A2947" t="s">
        <v>419</v>
      </c>
      <c r="B2947" t="s">
        <v>11</v>
      </c>
      <c r="C2947" s="1" t="str">
        <f>HYPERLINK("http://продеталь.рф/search.html?article=PMZ04116BB","PMZ04116BB")</f>
        <v>PMZ04116BB</v>
      </c>
      <c r="D2947" t="s">
        <v>6</v>
      </c>
    </row>
    <row r="2948" spans="1:4" outlineLevel="1" x14ac:dyDescent="0.25">
      <c r="A2948" t="s">
        <v>419</v>
      </c>
      <c r="B2948" t="s">
        <v>11</v>
      </c>
      <c r="C2948" s="1" t="str">
        <f>HYPERLINK("http://продеталь.рф/search.html?article=GDBP0186C","GDBP0186C")</f>
        <v>GDBP0186C</v>
      </c>
      <c r="D2948" t="s">
        <v>36</v>
      </c>
    </row>
    <row r="2949" spans="1:4" outlineLevel="1" x14ac:dyDescent="0.25">
      <c r="A2949" t="s">
        <v>419</v>
      </c>
      <c r="B2949" t="s">
        <v>159</v>
      </c>
      <c r="C2949" s="1" t="str">
        <f>HYPERLINK("http://продеталь.рф/search.html?article=MZ67026A","MZ67026A")</f>
        <v>MZ67026A</v>
      </c>
      <c r="D2949" t="s">
        <v>2</v>
      </c>
    </row>
    <row r="2950" spans="1:4" outlineLevel="1" x14ac:dyDescent="0.25">
      <c r="A2950" t="s">
        <v>419</v>
      </c>
      <c r="B2950" t="s">
        <v>23</v>
      </c>
      <c r="C2950" s="1" t="str">
        <f>HYPERLINK("http://продеталь.рф/search.html?article=11B582012B","11B582012B")</f>
        <v>11B582012B</v>
      </c>
      <c r="D2950" t="s">
        <v>4</v>
      </c>
    </row>
    <row r="2951" spans="1:4" outlineLevel="1" x14ac:dyDescent="0.25">
      <c r="A2951" t="s">
        <v>419</v>
      </c>
      <c r="B2951" t="s">
        <v>23</v>
      </c>
      <c r="C2951" s="1" t="str">
        <f>HYPERLINK("http://продеталь.рф/search.html?article=11B584012B","11B584012B")</f>
        <v>11B584012B</v>
      </c>
      <c r="D2951" t="s">
        <v>4</v>
      </c>
    </row>
    <row r="2952" spans="1:4" outlineLevel="1" x14ac:dyDescent="0.25">
      <c r="A2952" t="s">
        <v>419</v>
      </c>
      <c r="B2952" t="s">
        <v>23</v>
      </c>
      <c r="C2952" s="1" t="str">
        <f>HYPERLINK("http://продеталь.рф/search.html?article=11B583012B","11B583012B")</f>
        <v>11B583012B</v>
      </c>
      <c r="D2952" t="s">
        <v>4</v>
      </c>
    </row>
    <row r="2953" spans="1:4" outlineLevel="1" x14ac:dyDescent="0.25">
      <c r="A2953" t="s">
        <v>419</v>
      </c>
      <c r="B2953" t="s">
        <v>331</v>
      </c>
      <c r="C2953" s="1" t="str">
        <f>HYPERLINK("http://продеталь.рф/search.html?article=MZ22055B","MZ22055B")</f>
        <v>MZ22055B</v>
      </c>
      <c r="D2953" t="s">
        <v>2</v>
      </c>
    </row>
    <row r="2954" spans="1:4" outlineLevel="1" x14ac:dyDescent="0.25">
      <c r="A2954" t="s">
        <v>419</v>
      </c>
      <c r="B2954" t="s">
        <v>35</v>
      </c>
      <c r="C2954" s="1" t="str">
        <f>HYPERLINK("http://продеталь.рф/search.html?article=533MZS004","533MZS004")</f>
        <v>533MZS004</v>
      </c>
      <c r="D2954" t="s">
        <v>4</v>
      </c>
    </row>
    <row r="2955" spans="1:4" outlineLevel="1" x14ac:dyDescent="0.25">
      <c r="A2955" t="s">
        <v>419</v>
      </c>
      <c r="B2955" t="s">
        <v>35</v>
      </c>
      <c r="C2955" s="1" t="str">
        <f>HYPERLINK("http://продеталь.рф/search.html?article=533MZS003","533MZS003")</f>
        <v>533MZS003</v>
      </c>
      <c r="D2955" t="s">
        <v>4</v>
      </c>
    </row>
    <row r="2956" spans="1:4" outlineLevel="1" x14ac:dyDescent="0.25">
      <c r="A2956" t="s">
        <v>419</v>
      </c>
      <c r="B2956" t="s">
        <v>35</v>
      </c>
      <c r="C2956" s="1" t="str">
        <f>HYPERLINK("http://продеталь.рф/search.html?article=533MZ0016","533MZ0016")</f>
        <v>533MZ0016</v>
      </c>
      <c r="D2956" t="s">
        <v>4</v>
      </c>
    </row>
    <row r="2957" spans="1:4" outlineLevel="1" x14ac:dyDescent="0.25">
      <c r="A2957" t="s">
        <v>419</v>
      </c>
      <c r="B2957" t="s">
        <v>84</v>
      </c>
      <c r="C2957" s="1" t="str">
        <f>HYPERLINK("http://продеталь.рф/search.html?article=PMZ99014AR","PMZ99014AR")</f>
        <v>PMZ99014AR</v>
      </c>
      <c r="D2957" t="s">
        <v>6</v>
      </c>
    </row>
    <row r="2958" spans="1:4" outlineLevel="1" x14ac:dyDescent="0.25">
      <c r="A2958" t="s">
        <v>419</v>
      </c>
      <c r="B2958" t="s">
        <v>84</v>
      </c>
      <c r="C2958" s="1" t="str">
        <f>HYPERLINK("http://продеталь.рф/search.html?article=PMZ99016AL","PMZ99016AL")</f>
        <v>PMZ99016AL</v>
      </c>
      <c r="D2958" t="s">
        <v>6</v>
      </c>
    </row>
    <row r="2959" spans="1:4" outlineLevel="1" x14ac:dyDescent="0.25">
      <c r="A2959" t="s">
        <v>419</v>
      </c>
      <c r="B2959" t="s">
        <v>84</v>
      </c>
      <c r="C2959" s="1" t="str">
        <f>HYPERLINK("http://продеталь.рф/search.html?article=PMZ99016AR","PMZ99016AR")</f>
        <v>PMZ99016AR</v>
      </c>
      <c r="D2959" t="s">
        <v>6</v>
      </c>
    </row>
    <row r="2960" spans="1:4" outlineLevel="1" x14ac:dyDescent="0.25">
      <c r="A2960" t="s">
        <v>419</v>
      </c>
      <c r="B2960" t="s">
        <v>84</v>
      </c>
      <c r="C2960" s="1" t="str">
        <f>HYPERLINK("http://продеталь.рф/search.html?article=MZ43087C","MZ43087C")</f>
        <v>MZ43087C</v>
      </c>
      <c r="D2960" t="s">
        <v>2</v>
      </c>
    </row>
    <row r="2961" spans="1:4" outlineLevel="1" x14ac:dyDescent="0.25">
      <c r="A2961" t="s">
        <v>419</v>
      </c>
      <c r="B2961" t="s">
        <v>84</v>
      </c>
      <c r="C2961" s="1" t="str">
        <f>HYPERLINK("http://продеталь.рф/search.html?article=MZ43087D","MZ43087D")</f>
        <v>MZ43087D</v>
      </c>
      <c r="D2961" t="s">
        <v>2</v>
      </c>
    </row>
    <row r="2962" spans="1:4" outlineLevel="1" x14ac:dyDescent="0.25">
      <c r="A2962" t="s">
        <v>419</v>
      </c>
      <c r="B2962" t="s">
        <v>24</v>
      </c>
      <c r="C2962" s="1" t="str">
        <f>HYPERLINK("http://продеталь.рф/search.html?article=MZ10073AL","MZ10073AL")</f>
        <v>MZ10073AL</v>
      </c>
      <c r="D2962" t="s">
        <v>2</v>
      </c>
    </row>
    <row r="2963" spans="1:4" outlineLevel="1" x14ac:dyDescent="0.25">
      <c r="A2963" t="s">
        <v>419</v>
      </c>
      <c r="B2963" t="s">
        <v>24</v>
      </c>
      <c r="C2963" s="1" t="str">
        <f>HYPERLINK("http://продеталь.рф/search.html?article=MZ10073AR","MZ10073AR")</f>
        <v>MZ10073AR</v>
      </c>
      <c r="D2963" t="s">
        <v>2</v>
      </c>
    </row>
    <row r="2964" spans="1:4" outlineLevel="1" x14ac:dyDescent="0.25">
      <c r="A2964" t="s">
        <v>419</v>
      </c>
      <c r="B2964" t="s">
        <v>240</v>
      </c>
      <c r="C2964" s="1" t="str">
        <f>HYPERLINK("http://продеталь.рф/search.html?article=VMZM1046DL","VMZM1046DL")</f>
        <v>VMZM1046DL</v>
      </c>
      <c r="D2964" t="s">
        <v>6</v>
      </c>
    </row>
    <row r="2965" spans="1:4" outlineLevel="1" x14ac:dyDescent="0.25">
      <c r="A2965" t="s">
        <v>419</v>
      </c>
      <c r="B2965" t="s">
        <v>26</v>
      </c>
      <c r="C2965" s="1" t="str">
        <f>HYPERLINK("http://продеталь.рф/search.html?article=PMZ99001MA","PMZ99001MA")</f>
        <v>PMZ99001MA</v>
      </c>
      <c r="D2965" t="s">
        <v>6</v>
      </c>
    </row>
    <row r="2966" spans="1:4" outlineLevel="1" x14ac:dyDescent="0.25">
      <c r="A2966" t="s">
        <v>419</v>
      </c>
      <c r="B2966" t="s">
        <v>26</v>
      </c>
      <c r="C2966" s="1" t="str">
        <f>HYPERLINK("http://продеталь.рф/search.html?article=MZ07123MA","MZ07123MA")</f>
        <v>MZ07123MA</v>
      </c>
      <c r="D2966" t="s">
        <v>2</v>
      </c>
    </row>
    <row r="2967" spans="1:4" outlineLevel="1" x14ac:dyDescent="0.25">
      <c r="A2967" t="s">
        <v>419</v>
      </c>
      <c r="B2967" t="s">
        <v>26</v>
      </c>
      <c r="C2967" s="1" t="str">
        <f>HYPERLINK("http://продеталь.рф/search.html?article=MZ07128MA","MZ07128MA")</f>
        <v>MZ07128MA</v>
      </c>
      <c r="D2967" t="s">
        <v>2</v>
      </c>
    </row>
    <row r="2968" spans="1:4" outlineLevel="1" x14ac:dyDescent="0.25">
      <c r="A2968" t="s">
        <v>419</v>
      </c>
      <c r="B2968" t="s">
        <v>27</v>
      </c>
      <c r="C2968" s="1" t="str">
        <f>HYPERLINK("http://продеталь.рф/search.html?article=PMZ30006A","PMZ30006A")</f>
        <v>PMZ30006A</v>
      </c>
      <c r="D2968" t="s">
        <v>6</v>
      </c>
    </row>
    <row r="2969" spans="1:4" outlineLevel="1" x14ac:dyDescent="0.25">
      <c r="A2969" t="s">
        <v>419</v>
      </c>
      <c r="B2969" t="s">
        <v>3</v>
      </c>
      <c r="C2969" s="1" t="str">
        <f>HYPERLINK("http://продеталь.рф/search.html?article=20B998A52B","20B998A52B")</f>
        <v>20B998A52B</v>
      </c>
      <c r="D2969" t="s">
        <v>4</v>
      </c>
    </row>
    <row r="2970" spans="1:4" outlineLevel="1" x14ac:dyDescent="0.25">
      <c r="A2970" t="s">
        <v>419</v>
      </c>
      <c r="B2970" t="s">
        <v>3</v>
      </c>
      <c r="C2970" s="1" t="str">
        <f>HYPERLINK("http://продеталь.рф/search.html?article=20B997A52B","20B997A52B")</f>
        <v>20B997A52B</v>
      </c>
      <c r="D2970" t="s">
        <v>4</v>
      </c>
    </row>
    <row r="2971" spans="1:4" outlineLevel="1" x14ac:dyDescent="0.25">
      <c r="A2971" t="s">
        <v>419</v>
      </c>
      <c r="B2971" t="s">
        <v>3</v>
      </c>
      <c r="C2971" s="1" t="str">
        <f>HYPERLINK("http://продеталь.рф/search.html?article=209085011A","209085011A")</f>
        <v>209085011A</v>
      </c>
      <c r="D2971" t="s">
        <v>4</v>
      </c>
    </row>
    <row r="2972" spans="1:4" outlineLevel="1" x14ac:dyDescent="0.25">
      <c r="A2972" t="s">
        <v>419</v>
      </c>
      <c r="B2972" t="s">
        <v>3</v>
      </c>
      <c r="C2972" s="1" t="str">
        <f>HYPERLINK("http://продеталь.рф/search.html?article=209086011A","209086011A")</f>
        <v>209086011A</v>
      </c>
      <c r="D2972" t="s">
        <v>4</v>
      </c>
    </row>
    <row r="2973" spans="1:4" outlineLevel="1" x14ac:dyDescent="0.25">
      <c r="A2973" t="s">
        <v>419</v>
      </c>
      <c r="B2973" t="s">
        <v>139</v>
      </c>
      <c r="C2973" s="1" t="str">
        <f>HYPERLINK("http://продеталь.рф/search.html?article=MZ21055AR","MZ21055AR")</f>
        <v>MZ21055AR</v>
      </c>
      <c r="D2973" t="s">
        <v>2</v>
      </c>
    </row>
    <row r="2974" spans="1:4" outlineLevel="1" x14ac:dyDescent="0.25">
      <c r="A2974" t="s">
        <v>419</v>
      </c>
      <c r="B2974" t="s">
        <v>5</v>
      </c>
      <c r="C2974" s="1" t="str">
        <f>HYPERLINK("http://продеталь.рф/search.html?article=MZ11073AL","MZ11073AL")</f>
        <v>MZ11073AL</v>
      </c>
      <c r="D2974" t="s">
        <v>2</v>
      </c>
    </row>
    <row r="2975" spans="1:4" outlineLevel="1" x14ac:dyDescent="0.25">
      <c r="A2975" t="s">
        <v>419</v>
      </c>
      <c r="B2975" t="s">
        <v>5</v>
      </c>
      <c r="C2975" s="1" t="str">
        <f>HYPERLINK("http://продеталь.рф/search.html?article=MZ11073AR","MZ11073AR")</f>
        <v>MZ11073AR</v>
      </c>
      <c r="D2975" t="s">
        <v>2</v>
      </c>
    </row>
    <row r="2976" spans="1:4" outlineLevel="1" x14ac:dyDescent="0.25">
      <c r="A2976" t="s">
        <v>419</v>
      </c>
      <c r="B2976" t="s">
        <v>19</v>
      </c>
      <c r="C2976" s="1" t="str">
        <f>HYPERLINK("http://продеталь.рф/search.html?article=190916012","190916012")</f>
        <v>190916012</v>
      </c>
      <c r="D2976" t="s">
        <v>4</v>
      </c>
    </row>
    <row r="2977" spans="1:4" outlineLevel="1" x14ac:dyDescent="0.25">
      <c r="A2977" t="s">
        <v>419</v>
      </c>
      <c r="B2977" t="s">
        <v>19</v>
      </c>
      <c r="C2977" s="1" t="str">
        <f>HYPERLINK("http://продеталь.рф/search.html?article=195970001A","195970001A")</f>
        <v>195970001A</v>
      </c>
      <c r="D2977" t="s">
        <v>4</v>
      </c>
    </row>
    <row r="2978" spans="1:4" outlineLevel="1" x14ac:dyDescent="0.25">
      <c r="A2978" t="s">
        <v>419</v>
      </c>
      <c r="B2978" t="s">
        <v>19</v>
      </c>
      <c r="C2978" s="1" t="str">
        <f>HYPERLINK("http://продеталь.рф/search.html?article=195969001A","195969001A")</f>
        <v>195969001A</v>
      </c>
      <c r="D2978" t="s">
        <v>4</v>
      </c>
    </row>
    <row r="2979" spans="1:4" outlineLevel="1" x14ac:dyDescent="0.25">
      <c r="A2979" t="s">
        <v>419</v>
      </c>
      <c r="B2979" t="s">
        <v>19</v>
      </c>
      <c r="C2979" s="1" t="str">
        <f>HYPERLINK("http://продеталь.рф/search.html?article=195972001A","195972001A")</f>
        <v>195972001A</v>
      </c>
      <c r="D2979" t="s">
        <v>4</v>
      </c>
    </row>
    <row r="2980" spans="1:4" outlineLevel="1" x14ac:dyDescent="0.25">
      <c r="A2980" t="s">
        <v>419</v>
      </c>
      <c r="B2980" t="s">
        <v>19</v>
      </c>
      <c r="C2980" s="1" t="str">
        <f>HYPERLINK("http://продеталь.рф/search.html?article=195971001A","195971001A")</f>
        <v>195971001A</v>
      </c>
      <c r="D2980" t="s">
        <v>4</v>
      </c>
    </row>
    <row r="2981" spans="1:4" outlineLevel="1" x14ac:dyDescent="0.25">
      <c r="A2981" t="s">
        <v>419</v>
      </c>
      <c r="B2981" t="s">
        <v>8</v>
      </c>
      <c r="C2981" s="1" t="str">
        <f>HYPERLINK("http://продеталь.рф/search.html?article=606MZ2033","606MZ2033")</f>
        <v>606MZ2033</v>
      </c>
      <c r="D2981" t="s">
        <v>4</v>
      </c>
    </row>
    <row r="2982" spans="1:4" outlineLevel="1" x14ac:dyDescent="0.25">
      <c r="A2982" t="s">
        <v>419</v>
      </c>
      <c r="B2982" t="s">
        <v>40</v>
      </c>
      <c r="C2982" s="1" t="str">
        <f>HYPERLINK("http://продеталь.рф/search.html?article=MZ144000G1R00","MZ144000G1R00")</f>
        <v>MZ144000G1R00</v>
      </c>
      <c r="D2982" t="s">
        <v>9</v>
      </c>
    </row>
    <row r="2983" spans="1:4" outlineLevel="1" x14ac:dyDescent="0.25">
      <c r="A2983" t="s">
        <v>419</v>
      </c>
      <c r="B2983" t="s">
        <v>40</v>
      </c>
      <c r="C2983" s="1" t="str">
        <f>HYPERLINK("http://продеталь.рф/search.html?article=PMZ99114GAR","PMZ99114GAR")</f>
        <v>PMZ99114GAR</v>
      </c>
      <c r="D2983" t="s">
        <v>6</v>
      </c>
    </row>
    <row r="2984" spans="1:4" outlineLevel="1" x14ac:dyDescent="0.25">
      <c r="A2984" t="s">
        <v>419</v>
      </c>
      <c r="B2984" t="s">
        <v>40</v>
      </c>
      <c r="C2984" s="1" t="str">
        <f>HYPERLINK("http://продеталь.рф/search.html?article=MZ07114GA","MZ07114GA")</f>
        <v>MZ07114GA</v>
      </c>
      <c r="D2984" t="s">
        <v>2</v>
      </c>
    </row>
    <row r="2985" spans="1:4" outlineLevel="1" x14ac:dyDescent="0.25">
      <c r="A2985" t="s">
        <v>419</v>
      </c>
      <c r="B2985" t="s">
        <v>40</v>
      </c>
      <c r="C2985" s="1" t="str">
        <f>HYPERLINK("http://продеталь.рф/search.html?article=PMZ99117GAL","PMZ99117GAL")</f>
        <v>PMZ99117GAL</v>
      </c>
      <c r="D2985" t="s">
        <v>6</v>
      </c>
    </row>
    <row r="2986" spans="1:4" outlineLevel="1" x14ac:dyDescent="0.25">
      <c r="A2986" t="s">
        <v>419</v>
      </c>
      <c r="B2986" t="s">
        <v>420</v>
      </c>
      <c r="C2986" s="1" t="str">
        <f>HYPERLINK("http://продеталь.рф/search.html?article=17A267019B","17A267019B")</f>
        <v>17A267019B</v>
      </c>
      <c r="D2986" t="s">
        <v>4</v>
      </c>
    </row>
    <row r="2987" spans="1:4" x14ac:dyDescent="0.25">
      <c r="A2987" t="s">
        <v>421</v>
      </c>
      <c r="B2987" s="2" t="s">
        <v>421</v>
      </c>
      <c r="C2987" s="2"/>
      <c r="D2987" s="2"/>
    </row>
    <row r="2988" spans="1:4" outlineLevel="1" x14ac:dyDescent="0.25">
      <c r="A2988" t="s">
        <v>421</v>
      </c>
      <c r="B2988" t="s">
        <v>11</v>
      </c>
      <c r="C2988" s="1" t="str">
        <f>HYPERLINK("http://продеталь.рф/search.html?article=MZ04006BA","MZ04006BA")</f>
        <v>MZ04006BA</v>
      </c>
      <c r="D2988" t="s">
        <v>2</v>
      </c>
    </row>
    <row r="2989" spans="1:4" outlineLevel="1" x14ac:dyDescent="0.25">
      <c r="A2989" t="s">
        <v>421</v>
      </c>
      <c r="B2989" t="s">
        <v>3</v>
      </c>
      <c r="C2989" s="1" t="str">
        <f>HYPERLINK("http://продеталь.рф/search.html?article=201604052","201604052")</f>
        <v>201604052</v>
      </c>
      <c r="D2989" t="s">
        <v>4</v>
      </c>
    </row>
    <row r="2990" spans="1:4" outlineLevel="1" x14ac:dyDescent="0.25">
      <c r="A2990" t="s">
        <v>421</v>
      </c>
      <c r="B2990" t="s">
        <v>16</v>
      </c>
      <c r="C2990" s="1" t="str">
        <f>HYPERLINK("http://продеталь.рф/search.html?article=181395016B","181395016B")</f>
        <v>181395016B</v>
      </c>
      <c r="D2990" t="s">
        <v>4</v>
      </c>
    </row>
    <row r="2991" spans="1:4" outlineLevel="1" x14ac:dyDescent="0.25">
      <c r="A2991" t="s">
        <v>421</v>
      </c>
      <c r="B2991" t="s">
        <v>16</v>
      </c>
      <c r="C2991" s="1" t="str">
        <f>HYPERLINK("http://продеталь.рф/search.html?article=181394016B","181394016B")</f>
        <v>181394016B</v>
      </c>
      <c r="D2991" t="s">
        <v>4</v>
      </c>
    </row>
    <row r="2992" spans="1:4" x14ac:dyDescent="0.25">
      <c r="A2992" t="s">
        <v>422</v>
      </c>
      <c r="B2992" s="2" t="s">
        <v>422</v>
      </c>
      <c r="C2992" s="2"/>
      <c r="D2992" s="2"/>
    </row>
    <row r="2993" spans="1:4" outlineLevel="1" x14ac:dyDescent="0.25">
      <c r="A2993" t="s">
        <v>422</v>
      </c>
      <c r="B2993" t="s">
        <v>11</v>
      </c>
      <c r="C2993" s="1" t="str">
        <f>HYPERLINK("http://продеталь.рф/search.html?article=MZ04033BB","MZ04033BB")</f>
        <v>MZ04033BB</v>
      </c>
      <c r="D2993" t="s">
        <v>2</v>
      </c>
    </row>
    <row r="2994" spans="1:4" outlineLevel="1" x14ac:dyDescent="0.25">
      <c r="A2994" t="s">
        <v>422</v>
      </c>
      <c r="B2994" t="s">
        <v>54</v>
      </c>
      <c r="C2994" s="1" t="str">
        <f>HYPERLINK("http://продеталь.рф/search.html?article=3432001","3432001")</f>
        <v>3432001</v>
      </c>
      <c r="D2994" t="s">
        <v>46</v>
      </c>
    </row>
    <row r="2995" spans="1:4" outlineLevel="1" x14ac:dyDescent="0.25">
      <c r="A2995" t="s">
        <v>422</v>
      </c>
      <c r="B2995" t="s">
        <v>16</v>
      </c>
      <c r="C2995" s="1" t="str">
        <f>HYPERLINK("http://продеталь.рф/search.html?article=181827052","181827052")</f>
        <v>181827052</v>
      </c>
      <c r="D2995" t="s">
        <v>4</v>
      </c>
    </row>
    <row r="2996" spans="1:4" x14ac:dyDescent="0.25">
      <c r="A2996" t="s">
        <v>423</v>
      </c>
      <c r="B2996" s="2" t="s">
        <v>423</v>
      </c>
      <c r="C2996" s="2"/>
      <c r="D2996" s="2"/>
    </row>
    <row r="2997" spans="1:4" outlineLevel="1" x14ac:dyDescent="0.25">
      <c r="A2997" t="s">
        <v>423</v>
      </c>
      <c r="B2997" t="s">
        <v>11</v>
      </c>
      <c r="C2997" s="1" t="str">
        <f>HYPERLINK("http://продеталь.рф/search.html?article=MZ04043BD","MZ04043BD")</f>
        <v>MZ04043BD</v>
      </c>
      <c r="D2997" t="s">
        <v>2</v>
      </c>
    </row>
    <row r="2998" spans="1:4" outlineLevel="1" x14ac:dyDescent="0.25">
      <c r="A2998" t="s">
        <v>423</v>
      </c>
      <c r="B2998" t="s">
        <v>11</v>
      </c>
      <c r="C2998" s="1" t="str">
        <f>HYPERLINK("http://продеталь.рф/search.html?article=MZ04043BB","MZ04043BB")</f>
        <v>MZ04043BB</v>
      </c>
      <c r="D2998" t="s">
        <v>2</v>
      </c>
    </row>
    <row r="2999" spans="1:4" outlineLevel="1" x14ac:dyDescent="0.25">
      <c r="A2999" t="s">
        <v>423</v>
      </c>
      <c r="B2999" t="s">
        <v>15</v>
      </c>
      <c r="C2999" s="1" t="str">
        <f>HYPERLINK("http://продеталь.рф/search.html?article=3200012","3200012")</f>
        <v>3200012</v>
      </c>
      <c r="D2999" t="s">
        <v>4</v>
      </c>
    </row>
    <row r="3000" spans="1:4" outlineLevel="1" x14ac:dyDescent="0.25">
      <c r="A3000" t="s">
        <v>423</v>
      </c>
      <c r="B3000" t="s">
        <v>15</v>
      </c>
      <c r="C3000" s="1" t="str">
        <f>HYPERLINK("http://продеталь.рф/search.html?article=3200011","3200011")</f>
        <v>3200011</v>
      </c>
      <c r="D3000" t="s">
        <v>4</v>
      </c>
    </row>
    <row r="3001" spans="1:4" outlineLevel="1" x14ac:dyDescent="0.25">
      <c r="A3001" t="s">
        <v>423</v>
      </c>
      <c r="B3001" t="s">
        <v>45</v>
      </c>
      <c r="C3001" s="1" t="str">
        <f>HYPERLINK("http://продеталь.рф/search.html?article=3471581","3471581")</f>
        <v>3471581</v>
      </c>
      <c r="D3001" t="s">
        <v>46</v>
      </c>
    </row>
    <row r="3002" spans="1:4" outlineLevel="1" x14ac:dyDescent="0.25">
      <c r="A3002" t="s">
        <v>423</v>
      </c>
      <c r="B3002" t="s">
        <v>1</v>
      </c>
      <c r="C3002" s="1" t="str">
        <f>HYPERLINK("http://продеталь.рф/search.html?article=MZ20020A","MZ20020A")</f>
        <v>MZ20020A</v>
      </c>
      <c r="D3002" t="s">
        <v>2</v>
      </c>
    </row>
    <row r="3003" spans="1:4" outlineLevel="1" x14ac:dyDescent="0.25">
      <c r="A3003" t="s">
        <v>423</v>
      </c>
      <c r="B3003" t="s">
        <v>3</v>
      </c>
      <c r="C3003" s="1" t="str">
        <f>HYPERLINK("http://продеталь.рф/search.html?article=203115052","203115052")</f>
        <v>203115052</v>
      </c>
      <c r="D3003" t="s">
        <v>4</v>
      </c>
    </row>
    <row r="3004" spans="1:4" outlineLevel="1" x14ac:dyDescent="0.25">
      <c r="A3004" t="s">
        <v>423</v>
      </c>
      <c r="B3004" t="s">
        <v>3</v>
      </c>
      <c r="C3004" s="1" t="str">
        <f>HYPERLINK("http://продеталь.рф/search.html?article=203114052","203114052")</f>
        <v>203114052</v>
      </c>
      <c r="D3004" t="s">
        <v>4</v>
      </c>
    </row>
    <row r="3005" spans="1:4" outlineLevel="1" x14ac:dyDescent="0.25">
      <c r="A3005" t="s">
        <v>423</v>
      </c>
      <c r="B3005" t="s">
        <v>3</v>
      </c>
      <c r="C3005" s="1" t="str">
        <f>HYPERLINK("http://продеталь.рф/search.html?article=205494082","205494082")</f>
        <v>205494082</v>
      </c>
      <c r="D3005" t="s">
        <v>4</v>
      </c>
    </row>
    <row r="3006" spans="1:4" outlineLevel="1" x14ac:dyDescent="0.25">
      <c r="A3006" t="s">
        <v>423</v>
      </c>
      <c r="B3006" t="s">
        <v>3</v>
      </c>
      <c r="C3006" s="1" t="str">
        <f>HYPERLINK("http://продеталь.рф/search.html?article=205493082","205493082")</f>
        <v>205493082</v>
      </c>
      <c r="D3006" t="s">
        <v>4</v>
      </c>
    </row>
    <row r="3007" spans="1:4" outlineLevel="1" x14ac:dyDescent="0.25">
      <c r="A3007" t="s">
        <v>423</v>
      </c>
      <c r="B3007" t="s">
        <v>5</v>
      </c>
      <c r="C3007" s="1" t="str">
        <f>HYPERLINK("http://продеталь.рф/search.html?article=MZ11029BL","MZ11029BL")</f>
        <v>MZ11029BL</v>
      </c>
      <c r="D3007" t="s">
        <v>2</v>
      </c>
    </row>
    <row r="3008" spans="1:4" outlineLevel="1" x14ac:dyDescent="0.25">
      <c r="A3008" t="s">
        <v>423</v>
      </c>
      <c r="B3008" t="s">
        <v>5</v>
      </c>
      <c r="C3008" s="1" t="str">
        <f>HYPERLINK("http://продеталь.рф/search.html?article=MZ11029BR","MZ11029BR")</f>
        <v>MZ11029BR</v>
      </c>
      <c r="D3008" t="s">
        <v>2</v>
      </c>
    </row>
    <row r="3009" spans="1:4" outlineLevel="1" x14ac:dyDescent="0.25">
      <c r="A3009" t="s">
        <v>423</v>
      </c>
      <c r="B3009" t="s">
        <v>28</v>
      </c>
      <c r="C3009" s="1" t="str">
        <f>HYPERLINK("http://продеталь.рф/search.html?article=RA62383AR1","RA62383AR1")</f>
        <v>RA62383AR1</v>
      </c>
      <c r="D3009" t="s">
        <v>6</v>
      </c>
    </row>
    <row r="3010" spans="1:4" outlineLevel="1" x14ac:dyDescent="0.25">
      <c r="A3010" t="s">
        <v>423</v>
      </c>
      <c r="B3010" t="s">
        <v>12</v>
      </c>
      <c r="C3010" s="1" t="str">
        <f>HYPERLINK("http://продеталь.рф/search.html?article=MZ07049GA","MZ07049GA")</f>
        <v>MZ07049GA</v>
      </c>
      <c r="D3010" t="s">
        <v>2</v>
      </c>
    </row>
    <row r="3011" spans="1:4" outlineLevel="1" x14ac:dyDescent="0.25">
      <c r="A3011" t="s">
        <v>423</v>
      </c>
      <c r="B3011" t="s">
        <v>16</v>
      </c>
      <c r="C3011" s="1" t="str">
        <f>HYPERLINK("http://продеталь.рф/search.html?article=185493052","185493052")</f>
        <v>185493052</v>
      </c>
      <c r="D3011" t="s">
        <v>4</v>
      </c>
    </row>
    <row r="3012" spans="1:4" x14ac:dyDescent="0.25">
      <c r="A3012" t="s">
        <v>424</v>
      </c>
      <c r="B3012" s="2" t="s">
        <v>424</v>
      </c>
      <c r="C3012" s="2"/>
      <c r="D3012" s="2"/>
    </row>
    <row r="3013" spans="1:4" outlineLevel="1" x14ac:dyDescent="0.25">
      <c r="A3013" t="s">
        <v>424</v>
      </c>
      <c r="B3013" t="s">
        <v>11</v>
      </c>
      <c r="C3013" s="1" t="str">
        <f>HYPERLINK("http://продеталь.рф/search.html?article=MZ04062BB","MZ04062BB")</f>
        <v>MZ04062BB</v>
      </c>
      <c r="D3013" t="s">
        <v>2</v>
      </c>
    </row>
    <row r="3014" spans="1:4" outlineLevel="1" x14ac:dyDescent="0.25">
      <c r="A3014" t="s">
        <v>424</v>
      </c>
      <c r="B3014" t="s">
        <v>11</v>
      </c>
      <c r="C3014" s="1" t="str">
        <f>HYPERLINK("http://продеталь.рф/search.html?article=MZ04079BA","MZ04079BA")</f>
        <v>MZ04079BA</v>
      </c>
      <c r="D3014" t="s">
        <v>2</v>
      </c>
    </row>
    <row r="3015" spans="1:4" outlineLevel="1" x14ac:dyDescent="0.25">
      <c r="A3015" t="s">
        <v>424</v>
      </c>
      <c r="B3015" t="s">
        <v>11</v>
      </c>
      <c r="C3015" s="1" t="str">
        <f>HYPERLINK("http://продеталь.рф/search.html?article=PMZ04070BB","PMZ04070BB")</f>
        <v>PMZ04070BB</v>
      </c>
      <c r="D3015" t="s">
        <v>6</v>
      </c>
    </row>
    <row r="3016" spans="1:4" outlineLevel="1" x14ac:dyDescent="0.25">
      <c r="A3016" t="s">
        <v>424</v>
      </c>
      <c r="B3016" t="s">
        <v>15</v>
      </c>
      <c r="C3016" s="1" t="str">
        <f>HYPERLINK("http://продеталь.рф/search.html?article=3200003","3200003")</f>
        <v>3200003</v>
      </c>
      <c r="D3016" t="s">
        <v>4</v>
      </c>
    </row>
    <row r="3017" spans="1:4" outlineLevel="1" x14ac:dyDescent="0.25">
      <c r="A3017" t="s">
        <v>424</v>
      </c>
      <c r="B3017" t="s">
        <v>15</v>
      </c>
      <c r="C3017" s="1" t="str">
        <f>HYPERLINK("http://продеталь.рф/search.html?article=3200004","3200004")</f>
        <v>3200004</v>
      </c>
      <c r="D3017" t="s">
        <v>4</v>
      </c>
    </row>
    <row r="3018" spans="1:4" outlineLevel="1" x14ac:dyDescent="0.25">
      <c r="A3018" t="s">
        <v>424</v>
      </c>
      <c r="B3018" t="s">
        <v>159</v>
      </c>
      <c r="C3018" s="1" t="str">
        <f>HYPERLINK("http://продеталь.рф/search.html?article=MZV60041","MZV60041")</f>
        <v>MZV60041</v>
      </c>
      <c r="D3018" t="s">
        <v>9</v>
      </c>
    </row>
    <row r="3019" spans="1:4" outlineLevel="1" x14ac:dyDescent="0.25">
      <c r="A3019" t="s">
        <v>424</v>
      </c>
      <c r="B3019" t="s">
        <v>79</v>
      </c>
      <c r="C3019" s="1" t="str">
        <f>HYPERLINK("http://продеталь.рф/search.html?article=MZV6004A2","MZV6004A2")</f>
        <v>MZV6004A2</v>
      </c>
      <c r="D3019" t="s">
        <v>9</v>
      </c>
    </row>
    <row r="3020" spans="1:4" outlineLevel="1" x14ac:dyDescent="0.25">
      <c r="A3020" t="s">
        <v>424</v>
      </c>
      <c r="B3020" t="s">
        <v>79</v>
      </c>
      <c r="C3020" s="1" t="str">
        <f>HYPERLINK("http://продеталь.рф/search.html?article=MZ14200400L00","MZ14200400L00")</f>
        <v>MZ14200400L00</v>
      </c>
      <c r="D3020" t="s">
        <v>9</v>
      </c>
    </row>
    <row r="3021" spans="1:4" outlineLevel="1" x14ac:dyDescent="0.25">
      <c r="A3021" t="s">
        <v>424</v>
      </c>
      <c r="B3021" t="s">
        <v>23</v>
      </c>
      <c r="C3021" s="1" t="str">
        <f>HYPERLINK("http://продеталь.рф/search.html?article=110004112","110004112")</f>
        <v>110004112</v>
      </c>
      <c r="D3021" t="s">
        <v>4</v>
      </c>
    </row>
    <row r="3022" spans="1:4" outlineLevel="1" x14ac:dyDescent="0.25">
      <c r="A3022" t="s">
        <v>424</v>
      </c>
      <c r="B3022" t="s">
        <v>23</v>
      </c>
      <c r="C3022" s="1" t="str">
        <f>HYPERLINK("http://продеталь.рф/search.html?article=110003112","110003112")</f>
        <v>110003112</v>
      </c>
      <c r="D3022" t="s">
        <v>4</v>
      </c>
    </row>
    <row r="3023" spans="1:4" outlineLevel="1" x14ac:dyDescent="0.25">
      <c r="A3023" t="s">
        <v>424</v>
      </c>
      <c r="B3023" t="s">
        <v>45</v>
      </c>
      <c r="C3023" s="1" t="str">
        <f>HYPERLINK("http://продеталь.рф/search.html?article=3475583","3475583")</f>
        <v>3475583</v>
      </c>
      <c r="D3023" t="s">
        <v>46</v>
      </c>
    </row>
    <row r="3024" spans="1:4" outlineLevel="1" x14ac:dyDescent="0.25">
      <c r="A3024" t="s">
        <v>424</v>
      </c>
      <c r="B3024" t="s">
        <v>331</v>
      </c>
      <c r="C3024" s="1" t="str">
        <f>HYPERLINK("http://продеталь.рф/search.html?article=MZ22028A","MZ22028A")</f>
        <v>MZ22028A</v>
      </c>
      <c r="D3024" t="s">
        <v>2</v>
      </c>
    </row>
    <row r="3025" spans="1:4" outlineLevel="1" x14ac:dyDescent="0.25">
      <c r="A3025" t="s">
        <v>424</v>
      </c>
      <c r="B3025" t="s">
        <v>1</v>
      </c>
      <c r="C3025" s="1" t="str">
        <f>HYPERLINK("http://продеталь.рф/search.html?article=MZV60150","MZV60150")</f>
        <v>MZV60150</v>
      </c>
      <c r="D3025" t="s">
        <v>9</v>
      </c>
    </row>
    <row r="3026" spans="1:4" outlineLevel="1" x14ac:dyDescent="0.25">
      <c r="A3026" t="s">
        <v>424</v>
      </c>
      <c r="B3026" t="s">
        <v>1</v>
      </c>
      <c r="C3026" s="1" t="str">
        <f>HYPERLINK("http://продеталь.рф/search.html?article=MZ20034A","MZ20034A")</f>
        <v>MZ20034A</v>
      </c>
      <c r="D3026" t="s">
        <v>2</v>
      </c>
    </row>
    <row r="3027" spans="1:4" outlineLevel="1" x14ac:dyDescent="0.25">
      <c r="A3027" t="s">
        <v>424</v>
      </c>
      <c r="B3027" t="s">
        <v>24</v>
      </c>
      <c r="C3027" s="1" t="str">
        <f>HYPERLINK("http://продеталь.рф/search.html?article=MZV6016B1","MZV6016B1")</f>
        <v>MZV6016B1</v>
      </c>
      <c r="D3027" t="s">
        <v>9</v>
      </c>
    </row>
    <row r="3028" spans="1:4" outlineLevel="1" x14ac:dyDescent="0.25">
      <c r="A3028" t="s">
        <v>424</v>
      </c>
      <c r="B3028" t="s">
        <v>27</v>
      </c>
      <c r="C3028" s="1" t="str">
        <f>HYPERLINK("http://продеталь.рф/search.html?article=MZ14200901000","MZ14200901000")</f>
        <v>MZ14200901000</v>
      </c>
      <c r="D3028" t="s">
        <v>9</v>
      </c>
    </row>
    <row r="3029" spans="1:4" outlineLevel="1" x14ac:dyDescent="0.25">
      <c r="A3029" t="s">
        <v>424</v>
      </c>
      <c r="B3029" t="s">
        <v>3</v>
      </c>
      <c r="C3029" s="1" t="str">
        <f>HYPERLINK("http://продеталь.рф/search.html?article=205572082","205572082")</f>
        <v>205572082</v>
      </c>
      <c r="D3029" t="s">
        <v>4</v>
      </c>
    </row>
    <row r="3030" spans="1:4" outlineLevel="1" x14ac:dyDescent="0.25">
      <c r="A3030" t="s">
        <v>424</v>
      </c>
      <c r="B3030" t="s">
        <v>3</v>
      </c>
      <c r="C3030" s="1" t="str">
        <f>HYPERLINK("http://продеталь.рф/search.html?article=200138152","200138152")</f>
        <v>200138152</v>
      </c>
      <c r="D3030" t="s">
        <v>4</v>
      </c>
    </row>
    <row r="3031" spans="1:4" outlineLevel="1" x14ac:dyDescent="0.25">
      <c r="A3031" t="s">
        <v>424</v>
      </c>
      <c r="B3031" t="s">
        <v>3</v>
      </c>
      <c r="C3031" s="1" t="str">
        <f>HYPERLINK("http://продеталь.рф/search.html?article=200137152","200137152")</f>
        <v>200137152</v>
      </c>
      <c r="D3031" t="s">
        <v>4</v>
      </c>
    </row>
    <row r="3032" spans="1:4" outlineLevel="1" x14ac:dyDescent="0.25">
      <c r="A3032" t="s">
        <v>424</v>
      </c>
      <c r="B3032" t="s">
        <v>19</v>
      </c>
      <c r="C3032" s="1" t="str">
        <f>HYPERLINK("http://продеталь.рф/search.html?article=19013000","19013000")</f>
        <v>19013000</v>
      </c>
      <c r="D3032" t="s">
        <v>4</v>
      </c>
    </row>
    <row r="3033" spans="1:4" outlineLevel="1" x14ac:dyDescent="0.25">
      <c r="A3033" t="s">
        <v>424</v>
      </c>
      <c r="B3033" t="s">
        <v>19</v>
      </c>
      <c r="C3033" s="1" t="str">
        <f>HYPERLINK("http://продеталь.рф/search.html?article=195269052","195269052")</f>
        <v>195269052</v>
      </c>
      <c r="D3033" t="s">
        <v>4</v>
      </c>
    </row>
    <row r="3034" spans="1:4" outlineLevel="1" x14ac:dyDescent="0.25">
      <c r="A3034" t="s">
        <v>424</v>
      </c>
      <c r="B3034" t="s">
        <v>28</v>
      </c>
      <c r="C3034" s="1" t="str">
        <f>HYPERLINK("http://продеталь.рф/search.html?article=RA62403","RA62403")</f>
        <v>RA62403</v>
      </c>
      <c r="D3034" t="s">
        <v>6</v>
      </c>
    </row>
    <row r="3035" spans="1:4" outlineLevel="1" x14ac:dyDescent="0.25">
      <c r="A3035" t="s">
        <v>424</v>
      </c>
      <c r="B3035" t="s">
        <v>55</v>
      </c>
      <c r="C3035" s="1" t="str">
        <f>HYPERLINK("http://продеталь.рф/search.html?article=MZ07075MB","MZ07075MB")</f>
        <v>MZ07075MB</v>
      </c>
      <c r="D3035" t="s">
        <v>2</v>
      </c>
    </row>
    <row r="3036" spans="1:4" outlineLevel="1" x14ac:dyDescent="0.25">
      <c r="A3036" t="s">
        <v>424</v>
      </c>
      <c r="B3036" t="s">
        <v>55</v>
      </c>
      <c r="C3036" s="1" t="str">
        <f>HYPERLINK("http://продеталь.рф/search.html?article=PMZ07075MA","PMZ07075MA")</f>
        <v>PMZ07075MA</v>
      </c>
      <c r="D3036" t="s">
        <v>6</v>
      </c>
    </row>
    <row r="3037" spans="1:4" outlineLevel="1" x14ac:dyDescent="0.25">
      <c r="A3037" t="s">
        <v>424</v>
      </c>
      <c r="B3037" t="s">
        <v>40</v>
      </c>
      <c r="C3037" s="1" t="str">
        <f>HYPERLINK("http://продеталь.рф/search.html?article=PMZ99001GA","PMZ99001GA")</f>
        <v>PMZ99001GA</v>
      </c>
      <c r="D3037" t="s">
        <v>6</v>
      </c>
    </row>
    <row r="3038" spans="1:4" outlineLevel="1" x14ac:dyDescent="0.25">
      <c r="A3038" t="s">
        <v>424</v>
      </c>
      <c r="B3038" t="s">
        <v>12</v>
      </c>
      <c r="C3038" s="1" t="str">
        <f>HYPERLINK("http://продеталь.рф/search.html?article=MZ07073GA","MZ07073GA")</f>
        <v>MZ07073GA</v>
      </c>
      <c r="D3038" t="s">
        <v>99</v>
      </c>
    </row>
    <row r="3039" spans="1:4" outlineLevel="1" x14ac:dyDescent="0.25">
      <c r="A3039" t="s">
        <v>424</v>
      </c>
      <c r="B3039" t="s">
        <v>16</v>
      </c>
      <c r="C3039" s="1" t="str">
        <f>HYPERLINK("http://продеталь.рф/search.html?article=185171052","185171052")</f>
        <v>185171052</v>
      </c>
      <c r="D3039" t="s">
        <v>4</v>
      </c>
    </row>
    <row r="3040" spans="1:4" x14ac:dyDescent="0.25">
      <c r="A3040" t="s">
        <v>425</v>
      </c>
      <c r="B3040" s="2" t="s">
        <v>425</v>
      </c>
      <c r="C3040" s="2"/>
      <c r="D3040" s="2"/>
    </row>
    <row r="3041" spans="1:4" outlineLevel="1" x14ac:dyDescent="0.25">
      <c r="A3041" t="s">
        <v>425</v>
      </c>
      <c r="B3041" t="s">
        <v>24</v>
      </c>
      <c r="C3041" s="1" t="str">
        <f>HYPERLINK("http://продеталь.рф/search.html?article=MZ10028AL","MZ10028AL")</f>
        <v>MZ10028AL</v>
      </c>
      <c r="D3041" t="s">
        <v>2</v>
      </c>
    </row>
    <row r="3042" spans="1:4" outlineLevel="1" x14ac:dyDescent="0.25">
      <c r="A3042" t="s">
        <v>425</v>
      </c>
      <c r="B3042" t="s">
        <v>24</v>
      </c>
      <c r="C3042" s="1" t="str">
        <f>HYPERLINK("http://продеталь.рф/search.html?article=MZ10028AR","MZ10028AR")</f>
        <v>MZ10028AR</v>
      </c>
      <c r="D3042" t="s">
        <v>2</v>
      </c>
    </row>
    <row r="3043" spans="1:4" x14ac:dyDescent="0.25">
      <c r="A3043" t="s">
        <v>426</v>
      </c>
      <c r="B3043" s="2" t="s">
        <v>426</v>
      </c>
      <c r="C3043" s="2"/>
      <c r="D3043" s="2"/>
    </row>
    <row r="3044" spans="1:4" outlineLevel="1" x14ac:dyDescent="0.25">
      <c r="A3044" t="s">
        <v>426</v>
      </c>
      <c r="B3044" t="s">
        <v>11</v>
      </c>
      <c r="C3044" s="1" t="str">
        <f>HYPERLINK("http://продеталь.рф/search.html?article=MZ04058BA","MZ04058BA")</f>
        <v>MZ04058BA</v>
      </c>
      <c r="D3044" t="s">
        <v>2</v>
      </c>
    </row>
    <row r="3045" spans="1:4" outlineLevel="1" x14ac:dyDescent="0.25">
      <c r="A3045" t="s">
        <v>426</v>
      </c>
      <c r="B3045" t="s">
        <v>3</v>
      </c>
      <c r="C3045" s="1" t="str">
        <f>HYPERLINK("http://продеталь.рф/search.html?article=203123052","203123052")</f>
        <v>203123052</v>
      </c>
      <c r="D3045" t="s">
        <v>4</v>
      </c>
    </row>
    <row r="3046" spans="1:4" outlineLevel="1" x14ac:dyDescent="0.25">
      <c r="A3046" t="s">
        <v>426</v>
      </c>
      <c r="B3046" t="s">
        <v>3</v>
      </c>
      <c r="C3046" s="1" t="str">
        <f>HYPERLINK("http://продеталь.рф/search.html?article=203122052","203122052")</f>
        <v>203122052</v>
      </c>
      <c r="D3046" t="s">
        <v>4</v>
      </c>
    </row>
    <row r="3047" spans="1:4" outlineLevel="1" x14ac:dyDescent="0.25">
      <c r="A3047" t="s">
        <v>426</v>
      </c>
      <c r="B3047" t="s">
        <v>64</v>
      </c>
      <c r="C3047" s="1" t="str">
        <f>HYPERLINK("http://продеталь.рф/search.html?article=121534052","121534052")</f>
        <v>121534052</v>
      </c>
      <c r="D3047" t="s">
        <v>4</v>
      </c>
    </row>
    <row r="3048" spans="1:4" outlineLevel="1" x14ac:dyDescent="0.25">
      <c r="A3048" t="s">
        <v>426</v>
      </c>
      <c r="B3048" t="s">
        <v>64</v>
      </c>
      <c r="C3048" s="1" t="str">
        <f>HYPERLINK("http://продеталь.рф/search.html?article=121533052","121533052")</f>
        <v>121533052</v>
      </c>
      <c r="D3048" t="s">
        <v>4</v>
      </c>
    </row>
    <row r="3049" spans="1:4" x14ac:dyDescent="0.25">
      <c r="A3049" t="s">
        <v>427</v>
      </c>
      <c r="B3049" s="2" t="s">
        <v>427</v>
      </c>
      <c r="C3049" s="2"/>
      <c r="D3049" s="2"/>
    </row>
    <row r="3050" spans="1:4" outlineLevel="1" x14ac:dyDescent="0.25">
      <c r="A3050" t="s">
        <v>427</v>
      </c>
      <c r="B3050" t="s">
        <v>11</v>
      </c>
      <c r="C3050" s="1" t="str">
        <f>HYPERLINK("http://продеталь.рф/search.html?article=MZ04108BAH","MZ04108BAH")</f>
        <v>MZ04108BAH</v>
      </c>
      <c r="D3050" t="s">
        <v>2</v>
      </c>
    </row>
    <row r="3051" spans="1:4" outlineLevel="1" x14ac:dyDescent="0.25">
      <c r="A3051" t="s">
        <v>427</v>
      </c>
      <c r="B3051" t="s">
        <v>11</v>
      </c>
      <c r="C3051" s="1" t="str">
        <f>HYPERLINK("http://продеталь.рф/search.html?article=BP0050F","BP0050F")</f>
        <v>BP0050F</v>
      </c>
      <c r="D3051" t="s">
        <v>36</v>
      </c>
    </row>
    <row r="3052" spans="1:4" outlineLevel="1" x14ac:dyDescent="0.25">
      <c r="A3052" t="s">
        <v>427</v>
      </c>
      <c r="B3052" t="s">
        <v>15</v>
      </c>
      <c r="C3052" s="1" t="str">
        <f>HYPERLINK("http://продеталь.рф/search.html?article=MZM1047BR","MZM1047BR")</f>
        <v>MZM1047BR</v>
      </c>
      <c r="D3052" t="s">
        <v>2</v>
      </c>
    </row>
    <row r="3053" spans="1:4" outlineLevel="1" x14ac:dyDescent="0.25">
      <c r="A3053" t="s">
        <v>427</v>
      </c>
      <c r="B3053" t="s">
        <v>160</v>
      </c>
      <c r="C3053" s="1" t="str">
        <f>HYPERLINK("http://продеталь.рф/search.html?article=MZ56002500000","MZ56002500000")</f>
        <v>MZ56002500000</v>
      </c>
      <c r="D3053" t="s">
        <v>9</v>
      </c>
    </row>
    <row r="3054" spans="1:4" outlineLevel="1" x14ac:dyDescent="0.25">
      <c r="A3054" t="s">
        <v>427</v>
      </c>
      <c r="B3054" t="s">
        <v>27</v>
      </c>
      <c r="C3054" s="1" t="str">
        <f>HYPERLINK("http://продеталь.рф/search.html?article=PMZ30015A","PMZ30015A")</f>
        <v>PMZ30015A</v>
      </c>
      <c r="D3054" t="s">
        <v>6</v>
      </c>
    </row>
    <row r="3055" spans="1:4" outlineLevel="1" x14ac:dyDescent="0.25">
      <c r="A3055" t="s">
        <v>427</v>
      </c>
      <c r="B3055" t="s">
        <v>139</v>
      </c>
      <c r="C3055" s="1" t="str">
        <f>HYPERLINK("http://продеталь.рф/search.html?article=MZ21047AL","MZ21047AL")</f>
        <v>MZ21047AL</v>
      </c>
      <c r="D3055" t="s">
        <v>2</v>
      </c>
    </row>
    <row r="3056" spans="1:4" outlineLevel="1" x14ac:dyDescent="0.25">
      <c r="A3056" t="s">
        <v>427</v>
      </c>
      <c r="B3056" t="s">
        <v>139</v>
      </c>
      <c r="C3056" s="1" t="str">
        <f>HYPERLINK("http://продеталь.рф/search.html?article=MZ21047AR","MZ21047AR")</f>
        <v>MZ21047AR</v>
      </c>
      <c r="D3056" t="s">
        <v>2</v>
      </c>
    </row>
    <row r="3057" spans="1:4" outlineLevel="1" x14ac:dyDescent="0.25">
      <c r="A3057" t="s">
        <v>427</v>
      </c>
      <c r="B3057" t="s">
        <v>5</v>
      </c>
      <c r="C3057" s="1" t="str">
        <f>HYPERLINK("http://продеталь.рф/search.html?article=MZ56016L1","MZ56016L1")</f>
        <v>MZ56016L1</v>
      </c>
      <c r="D3057" t="s">
        <v>9</v>
      </c>
    </row>
    <row r="3058" spans="1:4" outlineLevel="1" x14ac:dyDescent="0.25">
      <c r="A3058" t="s">
        <v>427</v>
      </c>
      <c r="B3058" t="s">
        <v>19</v>
      </c>
      <c r="C3058" s="1" t="str">
        <f>HYPERLINK("http://продеталь.рф/search.html?article=190869012","190869012")</f>
        <v>190869012</v>
      </c>
      <c r="D3058" t="s">
        <v>4</v>
      </c>
    </row>
    <row r="3059" spans="1:4" outlineLevel="1" x14ac:dyDescent="0.25">
      <c r="A3059" t="s">
        <v>427</v>
      </c>
      <c r="B3059" t="s">
        <v>30</v>
      </c>
      <c r="C3059" s="1" t="str">
        <f>HYPERLINK("http://продеталь.рф/search.html?article=PMZ99014CAL","PMZ99014CAL")</f>
        <v>PMZ99014CAL</v>
      </c>
      <c r="D3059" t="s">
        <v>6</v>
      </c>
    </row>
    <row r="3060" spans="1:4" outlineLevel="1" x14ac:dyDescent="0.25">
      <c r="A3060" t="s">
        <v>427</v>
      </c>
      <c r="B3060" t="s">
        <v>30</v>
      </c>
      <c r="C3060" s="1" t="str">
        <f>HYPERLINK("http://продеталь.рф/search.html?article=PMZ99014CAR","PMZ99014CAR")</f>
        <v>PMZ99014CAR</v>
      </c>
      <c r="D3060" t="s">
        <v>6</v>
      </c>
    </row>
    <row r="3061" spans="1:4" outlineLevel="1" x14ac:dyDescent="0.25">
      <c r="A3061" t="s">
        <v>427</v>
      </c>
      <c r="B3061" t="s">
        <v>40</v>
      </c>
      <c r="C3061" s="1" t="str">
        <f>HYPERLINK("http://продеталь.рф/search.html?article=PMZ99090GA","PMZ99090GA")</f>
        <v>PMZ99090GA</v>
      </c>
      <c r="D3061" t="s">
        <v>6</v>
      </c>
    </row>
    <row r="3062" spans="1:4" x14ac:dyDescent="0.25">
      <c r="A3062" t="s">
        <v>428</v>
      </c>
      <c r="B3062" s="2" t="s">
        <v>428</v>
      </c>
      <c r="C3062" s="2"/>
      <c r="D3062" s="2"/>
    </row>
    <row r="3063" spans="1:4" outlineLevel="1" x14ac:dyDescent="0.25">
      <c r="A3063" t="s">
        <v>428</v>
      </c>
      <c r="B3063" t="s">
        <v>11</v>
      </c>
      <c r="C3063" s="1" t="str">
        <f>HYPERLINK("http://продеталь.рф/search.html?article=PMZ04081BA","PMZ04081BA")</f>
        <v>PMZ04081BA</v>
      </c>
      <c r="D3063" t="s">
        <v>6</v>
      </c>
    </row>
    <row r="3064" spans="1:4" outlineLevel="1" x14ac:dyDescent="0.25">
      <c r="A3064" t="s">
        <v>428</v>
      </c>
      <c r="B3064" t="s">
        <v>11</v>
      </c>
      <c r="C3064" s="1" t="str">
        <f>HYPERLINK("http://продеталь.рф/search.html?article=MZ04080BA","MZ04080BA")</f>
        <v>MZ04080BA</v>
      </c>
      <c r="D3064" t="s">
        <v>2</v>
      </c>
    </row>
    <row r="3065" spans="1:4" outlineLevel="1" x14ac:dyDescent="0.25">
      <c r="A3065" t="s">
        <v>428</v>
      </c>
      <c r="B3065" t="s">
        <v>11</v>
      </c>
      <c r="C3065" s="1" t="str">
        <f>HYPERLINK("http://продеталь.рф/search.html?article=MZ25087B0","MZ25087B0")</f>
        <v>MZ25087B0</v>
      </c>
      <c r="D3065" t="s">
        <v>9</v>
      </c>
    </row>
    <row r="3066" spans="1:4" outlineLevel="1" x14ac:dyDescent="0.25">
      <c r="A3066" t="s">
        <v>428</v>
      </c>
      <c r="B3066" t="s">
        <v>11</v>
      </c>
      <c r="C3066" s="1" t="str">
        <f>HYPERLINK("http://продеталь.рф/search.html?article=MZ04095BB","MZ04095BB")</f>
        <v>MZ04095BB</v>
      </c>
      <c r="D3066" t="s">
        <v>2</v>
      </c>
    </row>
    <row r="3067" spans="1:4" outlineLevel="1" x14ac:dyDescent="0.25">
      <c r="A3067" t="s">
        <v>428</v>
      </c>
      <c r="B3067" t="s">
        <v>15</v>
      </c>
      <c r="C3067" s="1" t="str">
        <f>HYPERLINK("http://продеталь.рф/search.html?article=3200028","3200028")</f>
        <v>3200028</v>
      </c>
      <c r="D3067" t="s">
        <v>4</v>
      </c>
    </row>
    <row r="3068" spans="1:4" outlineLevel="1" x14ac:dyDescent="0.25">
      <c r="A3068" t="s">
        <v>428</v>
      </c>
      <c r="B3068" t="s">
        <v>15</v>
      </c>
      <c r="C3068" s="1" t="str">
        <f>HYPERLINK("http://продеталь.рф/search.html?article=3200027","3200027")</f>
        <v>3200027</v>
      </c>
      <c r="D3068" t="s">
        <v>4</v>
      </c>
    </row>
    <row r="3069" spans="1:4" outlineLevel="1" x14ac:dyDescent="0.25">
      <c r="A3069" t="s">
        <v>428</v>
      </c>
      <c r="B3069" t="s">
        <v>15</v>
      </c>
      <c r="C3069" s="1" t="str">
        <f>HYPERLINK("http://продеталь.рф/search.html?article=VMZM1034ER","VMZM1034ER")</f>
        <v>VMZM1034ER</v>
      </c>
      <c r="D3069" t="s">
        <v>6</v>
      </c>
    </row>
    <row r="3070" spans="1:4" outlineLevel="1" x14ac:dyDescent="0.25">
      <c r="A3070" t="s">
        <v>428</v>
      </c>
      <c r="B3070" t="s">
        <v>79</v>
      </c>
      <c r="C3070" s="1" t="str">
        <f>HYPERLINK("http://продеталь.рф/search.html?article=MZ25000400000","MZ25000400000")</f>
        <v>MZ25000400000</v>
      </c>
      <c r="D3070" t="s">
        <v>9</v>
      </c>
    </row>
    <row r="3071" spans="1:4" outlineLevel="1" x14ac:dyDescent="0.25">
      <c r="A3071" t="s">
        <v>428</v>
      </c>
      <c r="B3071" t="s">
        <v>23</v>
      </c>
      <c r="C3071" s="1" t="str">
        <f>HYPERLINK("http://продеталь.рф/search.html?article=110433012","110433012")</f>
        <v>110433012</v>
      </c>
      <c r="D3071" t="s">
        <v>4</v>
      </c>
    </row>
    <row r="3072" spans="1:4" outlineLevel="1" x14ac:dyDescent="0.25">
      <c r="A3072" t="s">
        <v>428</v>
      </c>
      <c r="B3072" t="s">
        <v>23</v>
      </c>
      <c r="C3072" s="1" t="str">
        <f>HYPERLINK("http://продеталь.рф/search.html?article=111066112","111066112")</f>
        <v>111066112</v>
      </c>
      <c r="D3072" t="s">
        <v>4</v>
      </c>
    </row>
    <row r="3073" spans="1:4" outlineLevel="1" x14ac:dyDescent="0.25">
      <c r="A3073" t="s">
        <v>428</v>
      </c>
      <c r="B3073" t="s">
        <v>23</v>
      </c>
      <c r="C3073" s="1" t="str">
        <f>HYPERLINK("http://продеталь.рф/search.html?article=111065112","111065112")</f>
        <v>111065112</v>
      </c>
      <c r="D3073" t="s">
        <v>4</v>
      </c>
    </row>
    <row r="3074" spans="1:4" outlineLevel="1" x14ac:dyDescent="0.25">
      <c r="A3074" t="s">
        <v>428</v>
      </c>
      <c r="B3074" t="s">
        <v>23</v>
      </c>
      <c r="C3074" s="1" t="str">
        <f>HYPERLINK("http://продеталь.рф/search.html?article=170137012","170137012")</f>
        <v>170137012</v>
      </c>
      <c r="D3074" t="s">
        <v>4</v>
      </c>
    </row>
    <row r="3075" spans="1:4" outlineLevel="1" x14ac:dyDescent="0.25">
      <c r="A3075" t="s">
        <v>428</v>
      </c>
      <c r="B3075" t="s">
        <v>23</v>
      </c>
      <c r="C3075" s="1" t="str">
        <f>HYPERLINK("http://продеталь.рф/search.html?article=111064012","111064012")</f>
        <v>111064012</v>
      </c>
      <c r="D3075" t="s">
        <v>4</v>
      </c>
    </row>
    <row r="3076" spans="1:4" outlineLevel="1" x14ac:dyDescent="0.25">
      <c r="A3076" t="s">
        <v>428</v>
      </c>
      <c r="B3076" t="s">
        <v>23</v>
      </c>
      <c r="C3076" s="1" t="str">
        <f>HYPERLINK("http://продеталь.рф/search.html?article=115921001A","115921001A")</f>
        <v>115921001A</v>
      </c>
      <c r="D3076" t="s">
        <v>4</v>
      </c>
    </row>
    <row r="3077" spans="1:4" outlineLevel="1" x14ac:dyDescent="0.25">
      <c r="A3077" t="s">
        <v>428</v>
      </c>
      <c r="B3077" t="s">
        <v>45</v>
      </c>
      <c r="C3077" s="1" t="str">
        <f>HYPERLINK("http://продеталь.рф/search.html?article=3451581","3451581")</f>
        <v>3451581</v>
      </c>
      <c r="D3077" t="s">
        <v>46</v>
      </c>
    </row>
    <row r="3078" spans="1:4" outlineLevel="1" x14ac:dyDescent="0.25">
      <c r="A3078" t="s">
        <v>428</v>
      </c>
      <c r="B3078" t="s">
        <v>45</v>
      </c>
      <c r="C3078" s="1" t="str">
        <f>HYPERLINK("http://продеталь.рф/search.html?article=3451582","3451582")</f>
        <v>3451582</v>
      </c>
      <c r="D3078" t="s">
        <v>46</v>
      </c>
    </row>
    <row r="3079" spans="1:4" outlineLevel="1" x14ac:dyDescent="0.25">
      <c r="A3079" t="s">
        <v>428</v>
      </c>
      <c r="B3079" t="s">
        <v>331</v>
      </c>
      <c r="C3079" s="1" t="str">
        <f>HYPERLINK("http://продеталь.рф/search.html?article=PMZ22036A","PMZ22036A")</f>
        <v>PMZ22036A</v>
      </c>
      <c r="D3079" t="s">
        <v>6</v>
      </c>
    </row>
    <row r="3080" spans="1:4" outlineLevel="1" x14ac:dyDescent="0.25">
      <c r="A3080" t="s">
        <v>428</v>
      </c>
      <c r="B3080" t="s">
        <v>1</v>
      </c>
      <c r="C3080" s="1" t="str">
        <f>HYPERLINK("http://продеталь.рф/search.html?article=MZ250150","MZ250150")</f>
        <v>MZ250150</v>
      </c>
      <c r="D3080" t="s">
        <v>9</v>
      </c>
    </row>
    <row r="3081" spans="1:4" outlineLevel="1" x14ac:dyDescent="0.25">
      <c r="A3081" t="s">
        <v>428</v>
      </c>
      <c r="B3081" t="s">
        <v>84</v>
      </c>
      <c r="C3081" s="1" t="str">
        <f>HYPERLINK("http://продеталь.рф/search.html?article=MZ25000JA2","MZ25000JA2")</f>
        <v>MZ25000JA2</v>
      </c>
      <c r="D3081" t="s">
        <v>9</v>
      </c>
    </row>
    <row r="3082" spans="1:4" outlineLevel="1" x14ac:dyDescent="0.25">
      <c r="A3082" t="s">
        <v>428</v>
      </c>
      <c r="B3082" t="s">
        <v>84</v>
      </c>
      <c r="C3082" s="1" t="str">
        <f>HYPERLINK("http://продеталь.рф/search.html?article=MZ25000JA1","MZ25000JA1")</f>
        <v>MZ25000JA1</v>
      </c>
      <c r="D3082" t="s">
        <v>9</v>
      </c>
    </row>
    <row r="3083" spans="1:4" outlineLevel="1" x14ac:dyDescent="0.25">
      <c r="A3083" t="s">
        <v>428</v>
      </c>
      <c r="B3083" t="s">
        <v>84</v>
      </c>
      <c r="C3083" s="1" t="str">
        <f>HYPERLINK("http://продеталь.рф/search.html?article=MZ25000U2","MZ25000U2")</f>
        <v>MZ25000U2</v>
      </c>
      <c r="D3083" t="s">
        <v>9</v>
      </c>
    </row>
    <row r="3084" spans="1:4" outlineLevel="1" x14ac:dyDescent="0.25">
      <c r="A3084" t="s">
        <v>428</v>
      </c>
      <c r="B3084" t="s">
        <v>84</v>
      </c>
      <c r="C3084" s="1" t="str">
        <f>HYPERLINK("http://продеталь.рф/search.html?article=MZ25000U1","MZ25000U1")</f>
        <v>MZ25000U1</v>
      </c>
      <c r="D3084" t="s">
        <v>9</v>
      </c>
    </row>
    <row r="3085" spans="1:4" outlineLevel="1" x14ac:dyDescent="0.25">
      <c r="A3085" t="s">
        <v>428</v>
      </c>
      <c r="B3085" t="s">
        <v>84</v>
      </c>
      <c r="C3085" s="1" t="str">
        <f>HYPERLINK("http://продеталь.рф/search.html?article=PMZ43070AR","PMZ43070AR")</f>
        <v>PMZ43070AR</v>
      </c>
      <c r="D3085" t="s">
        <v>6</v>
      </c>
    </row>
    <row r="3086" spans="1:4" outlineLevel="1" x14ac:dyDescent="0.25">
      <c r="A3086" t="s">
        <v>428</v>
      </c>
      <c r="B3086" t="s">
        <v>84</v>
      </c>
      <c r="C3086" s="1" t="str">
        <f>HYPERLINK("http://продеталь.рф/search.html?article=PMZ43068AL","PMZ43068AL")</f>
        <v>PMZ43068AL</v>
      </c>
      <c r="D3086" t="s">
        <v>6</v>
      </c>
    </row>
    <row r="3087" spans="1:4" outlineLevel="1" x14ac:dyDescent="0.25">
      <c r="A3087" t="s">
        <v>428</v>
      </c>
      <c r="B3087" t="s">
        <v>84</v>
      </c>
      <c r="C3087" s="1" t="str">
        <f>HYPERLINK("http://продеталь.рф/search.html?article=PMZ43068AR","PMZ43068AR")</f>
        <v>PMZ43068AR</v>
      </c>
      <c r="D3087" t="s">
        <v>6</v>
      </c>
    </row>
    <row r="3088" spans="1:4" outlineLevel="1" x14ac:dyDescent="0.25">
      <c r="A3088" t="s">
        <v>428</v>
      </c>
      <c r="B3088" t="s">
        <v>24</v>
      </c>
      <c r="C3088" s="1" t="str">
        <f>HYPERLINK("http://продеталь.рф/search.html?article=MZ10050AL","MZ10050AL")</f>
        <v>MZ10050AL</v>
      </c>
      <c r="D3088" t="s">
        <v>2</v>
      </c>
    </row>
    <row r="3089" spans="1:4" outlineLevel="1" x14ac:dyDescent="0.25">
      <c r="A3089" t="s">
        <v>428</v>
      </c>
      <c r="B3089" t="s">
        <v>24</v>
      </c>
      <c r="C3089" s="1" t="str">
        <f>HYPERLINK("http://продеталь.рф/search.html?article=MZ10050CL","MZ10050CL")</f>
        <v>MZ10050CL</v>
      </c>
      <c r="D3089" t="s">
        <v>99</v>
      </c>
    </row>
    <row r="3090" spans="1:4" outlineLevel="1" x14ac:dyDescent="0.25">
      <c r="A3090" t="s">
        <v>428</v>
      </c>
      <c r="B3090" t="s">
        <v>24</v>
      </c>
      <c r="C3090" s="1" t="str">
        <f>HYPERLINK("http://продеталь.рф/search.html?article=MZ10050CR","MZ10050CR")</f>
        <v>MZ10050CR</v>
      </c>
      <c r="D3090" t="s">
        <v>99</v>
      </c>
    </row>
    <row r="3091" spans="1:4" outlineLevel="1" x14ac:dyDescent="0.25">
      <c r="A3091" t="s">
        <v>428</v>
      </c>
      <c r="B3091" t="s">
        <v>103</v>
      </c>
      <c r="C3091" s="1" t="str">
        <f>HYPERLINK("http://продеталь.рф/search.html?article=MZ99005CAL","MZ99005CAL")</f>
        <v>MZ99005CAL</v>
      </c>
      <c r="D3091" t="s">
        <v>99</v>
      </c>
    </row>
    <row r="3092" spans="1:4" outlineLevel="1" x14ac:dyDescent="0.25">
      <c r="A3092" t="s">
        <v>428</v>
      </c>
      <c r="B3092" t="s">
        <v>103</v>
      </c>
      <c r="C3092" s="1" t="str">
        <f>HYPERLINK("http://продеталь.рф/search.html?article=MZ99005CAR","MZ99005CAR")</f>
        <v>MZ99005CAR</v>
      </c>
      <c r="D3092" t="s">
        <v>99</v>
      </c>
    </row>
    <row r="3093" spans="1:4" outlineLevel="1" x14ac:dyDescent="0.25">
      <c r="A3093" t="s">
        <v>428</v>
      </c>
      <c r="B3093" t="s">
        <v>103</v>
      </c>
      <c r="C3093" s="1" t="str">
        <f>HYPERLINK("http://продеталь.рф/search.html?article=MZ99007CAL","MZ99007CAL")</f>
        <v>MZ99007CAL</v>
      </c>
      <c r="D3093" t="s">
        <v>2</v>
      </c>
    </row>
    <row r="3094" spans="1:4" outlineLevel="1" x14ac:dyDescent="0.25">
      <c r="A3094" t="s">
        <v>428</v>
      </c>
      <c r="B3094" t="s">
        <v>103</v>
      </c>
      <c r="C3094" s="1" t="str">
        <f>HYPERLINK("http://продеталь.рф/search.html?article=MZ99007CAR","MZ99007CAR")</f>
        <v>MZ99007CAR</v>
      </c>
      <c r="D3094" t="s">
        <v>2</v>
      </c>
    </row>
    <row r="3095" spans="1:4" outlineLevel="1" x14ac:dyDescent="0.25">
      <c r="A3095" t="s">
        <v>428</v>
      </c>
      <c r="B3095" t="s">
        <v>27</v>
      </c>
      <c r="C3095" s="1" t="str">
        <f>HYPERLINK("http://продеталь.рф/search.html?article=MZ25000900000","MZ25000900000")</f>
        <v>MZ25000900000</v>
      </c>
      <c r="D3095" t="s">
        <v>9</v>
      </c>
    </row>
    <row r="3096" spans="1:4" outlineLevel="1" x14ac:dyDescent="0.25">
      <c r="A3096" t="s">
        <v>428</v>
      </c>
      <c r="B3096" t="s">
        <v>3</v>
      </c>
      <c r="C3096" s="1" t="str">
        <f>HYPERLINK("http://продеталь.рф/search.html?article=203329152","203329152")</f>
        <v>203329152</v>
      </c>
      <c r="D3096" t="s">
        <v>4</v>
      </c>
    </row>
    <row r="3097" spans="1:4" outlineLevel="1" x14ac:dyDescent="0.25">
      <c r="A3097" t="s">
        <v>428</v>
      </c>
      <c r="B3097" t="s">
        <v>3</v>
      </c>
      <c r="C3097" s="1" t="str">
        <f>HYPERLINK("http://продеталь.рф/search.html?article=200330052","200330052")</f>
        <v>200330052</v>
      </c>
      <c r="D3097" t="s">
        <v>4</v>
      </c>
    </row>
    <row r="3098" spans="1:4" outlineLevel="1" x14ac:dyDescent="0.25">
      <c r="A3098" t="s">
        <v>428</v>
      </c>
      <c r="B3098" t="s">
        <v>3</v>
      </c>
      <c r="C3098" s="1" t="str">
        <f>HYPERLINK("http://продеталь.рф/search.html?article=200329052","200329052")</f>
        <v>200329052</v>
      </c>
      <c r="D3098" t="s">
        <v>4</v>
      </c>
    </row>
    <row r="3099" spans="1:4" outlineLevel="1" x14ac:dyDescent="0.25">
      <c r="A3099" t="s">
        <v>428</v>
      </c>
      <c r="B3099" t="s">
        <v>3</v>
      </c>
      <c r="C3099" s="1" t="str">
        <f>HYPERLINK("http://продеталь.рф/search.html?article=200976352","200976352")</f>
        <v>200976352</v>
      </c>
      <c r="D3099" t="s">
        <v>4</v>
      </c>
    </row>
    <row r="3100" spans="1:4" outlineLevel="1" x14ac:dyDescent="0.25">
      <c r="A3100" t="s">
        <v>428</v>
      </c>
      <c r="B3100" t="s">
        <v>3</v>
      </c>
      <c r="C3100" s="1" t="str">
        <f>HYPERLINK("http://продеталь.рф/search.html?article=200975352","200975352")</f>
        <v>200975352</v>
      </c>
      <c r="D3100" t="s">
        <v>4</v>
      </c>
    </row>
    <row r="3101" spans="1:4" outlineLevel="1" x14ac:dyDescent="0.25">
      <c r="A3101" t="s">
        <v>428</v>
      </c>
      <c r="B3101" t="s">
        <v>139</v>
      </c>
      <c r="C3101" s="1" t="str">
        <f>HYPERLINK("http://продеталь.рф/search.html?article=PMZ21000AL","PMZ21000AL")</f>
        <v>PMZ21000AL</v>
      </c>
      <c r="D3101" t="s">
        <v>6</v>
      </c>
    </row>
    <row r="3102" spans="1:4" outlineLevel="1" x14ac:dyDescent="0.25">
      <c r="A3102" t="s">
        <v>428</v>
      </c>
      <c r="B3102" t="s">
        <v>139</v>
      </c>
      <c r="C3102" s="1" t="str">
        <f>HYPERLINK("http://продеталь.рф/search.html?article=PMZ21000AR","PMZ21000AR")</f>
        <v>PMZ21000AR</v>
      </c>
      <c r="D3102" t="s">
        <v>6</v>
      </c>
    </row>
    <row r="3103" spans="1:4" outlineLevel="1" x14ac:dyDescent="0.25">
      <c r="A3103" t="s">
        <v>428</v>
      </c>
      <c r="B3103" t="s">
        <v>5</v>
      </c>
      <c r="C3103" s="1" t="str">
        <f>HYPERLINK("http://продеталь.рф/search.html?article=MZ25016LA2","MZ25016LA2")</f>
        <v>MZ25016LA2</v>
      </c>
      <c r="D3103" t="s">
        <v>9</v>
      </c>
    </row>
    <row r="3104" spans="1:4" outlineLevel="1" x14ac:dyDescent="0.25">
      <c r="A3104" t="s">
        <v>428</v>
      </c>
      <c r="B3104" t="s">
        <v>5</v>
      </c>
      <c r="C3104" s="1" t="str">
        <f>HYPERLINK("http://продеталь.рф/search.html?article=MZ25016LA1","MZ25016LA1")</f>
        <v>MZ25016LA1</v>
      </c>
      <c r="D3104" t="s">
        <v>9</v>
      </c>
    </row>
    <row r="3105" spans="1:4" outlineLevel="1" x14ac:dyDescent="0.25">
      <c r="A3105" t="s">
        <v>428</v>
      </c>
      <c r="B3105" t="s">
        <v>5</v>
      </c>
      <c r="C3105" s="1" t="str">
        <f>HYPERLINK("http://продеталь.рф/search.html?article=MZ11050AL","MZ11050AL")</f>
        <v>MZ11050AL</v>
      </c>
      <c r="D3105" t="s">
        <v>2</v>
      </c>
    </row>
    <row r="3106" spans="1:4" outlineLevel="1" x14ac:dyDescent="0.25">
      <c r="A3106" t="s">
        <v>428</v>
      </c>
      <c r="B3106" t="s">
        <v>5</v>
      </c>
      <c r="C3106" s="1" t="str">
        <f>HYPERLINK("http://продеталь.рф/search.html?article=MZ11050AR","MZ11050AR")</f>
        <v>MZ11050AR</v>
      </c>
      <c r="D3106" t="s">
        <v>2</v>
      </c>
    </row>
    <row r="3107" spans="1:4" outlineLevel="1" x14ac:dyDescent="0.25">
      <c r="A3107" t="s">
        <v>428</v>
      </c>
      <c r="B3107" t="s">
        <v>52</v>
      </c>
      <c r="C3107" s="1" t="str">
        <f>HYPERLINK("http://продеталь.рф/search.html?article=RG1948","RG1948")</f>
        <v>RG1948</v>
      </c>
      <c r="D3107" t="s">
        <v>53</v>
      </c>
    </row>
    <row r="3108" spans="1:4" outlineLevel="1" x14ac:dyDescent="0.25">
      <c r="A3108" t="s">
        <v>428</v>
      </c>
      <c r="B3108" t="s">
        <v>54</v>
      </c>
      <c r="C3108" s="1" t="str">
        <f>HYPERLINK("http://продеталь.рф/search.html?article=3451012","3451012")</f>
        <v>3451012</v>
      </c>
      <c r="D3108" t="s">
        <v>46</v>
      </c>
    </row>
    <row r="3109" spans="1:4" outlineLevel="1" x14ac:dyDescent="0.25">
      <c r="A3109" t="s">
        <v>428</v>
      </c>
      <c r="B3109" t="s">
        <v>28</v>
      </c>
      <c r="C3109" s="1" t="str">
        <f>HYPERLINK("http://продеталь.рф/search.html?article=RA62464A","RA62464A")</f>
        <v>RA62464A</v>
      </c>
      <c r="D3109" t="s">
        <v>6</v>
      </c>
    </row>
    <row r="3110" spans="1:4" outlineLevel="1" x14ac:dyDescent="0.25">
      <c r="A3110" t="s">
        <v>428</v>
      </c>
      <c r="B3110" t="s">
        <v>8</v>
      </c>
      <c r="C3110" s="1" t="str">
        <f>HYPERLINK("http://продеталь.рф/search.html?article=RC94928","RC94928")</f>
        <v>RC94928</v>
      </c>
      <c r="D3110" t="s">
        <v>6</v>
      </c>
    </row>
    <row r="3111" spans="1:4" outlineLevel="1" x14ac:dyDescent="0.25">
      <c r="A3111" t="s">
        <v>428</v>
      </c>
      <c r="B3111" t="s">
        <v>8</v>
      </c>
      <c r="C3111" s="1" t="str">
        <f>HYPERLINK("http://продеталь.рф/search.html?article=MZ25039401000","MZ25039401000")</f>
        <v>MZ25039401000</v>
      </c>
      <c r="D3111" t="s">
        <v>9</v>
      </c>
    </row>
    <row r="3112" spans="1:4" outlineLevel="1" x14ac:dyDescent="0.25">
      <c r="A3112" t="s">
        <v>428</v>
      </c>
      <c r="B3112" t="s">
        <v>40</v>
      </c>
      <c r="C3112" s="1" t="str">
        <f>HYPERLINK("http://продеталь.рф/search.html?article=MZ07084GA","MZ07084GA")</f>
        <v>MZ07084GA</v>
      </c>
      <c r="D3112" t="s">
        <v>99</v>
      </c>
    </row>
    <row r="3113" spans="1:4" outlineLevel="1" x14ac:dyDescent="0.25">
      <c r="A3113" t="s">
        <v>428</v>
      </c>
      <c r="B3113" t="s">
        <v>40</v>
      </c>
      <c r="C3113" s="1" t="str">
        <f>HYPERLINK("http://продеталь.рф/search.html?article=PMZ99007GA","PMZ99007GA")</f>
        <v>PMZ99007GA</v>
      </c>
      <c r="D3113" t="s">
        <v>6</v>
      </c>
    </row>
    <row r="3114" spans="1:4" outlineLevel="1" x14ac:dyDescent="0.25">
      <c r="A3114" t="s">
        <v>428</v>
      </c>
      <c r="B3114" t="s">
        <v>12</v>
      </c>
      <c r="C3114" s="1" t="str">
        <f>HYPERLINK("http://продеталь.рф/search.html?article=MZ07096GA","MZ07096GA")</f>
        <v>MZ07096GA</v>
      </c>
      <c r="D3114" t="s">
        <v>2</v>
      </c>
    </row>
    <row r="3115" spans="1:4" outlineLevel="1" x14ac:dyDescent="0.25">
      <c r="A3115" t="s">
        <v>428</v>
      </c>
      <c r="B3115" t="s">
        <v>118</v>
      </c>
      <c r="C3115" s="1" t="str">
        <f>HYPERLINK("http://продеталь.рф/search.html?article=SMZ2021R","SMZ2021R")</f>
        <v>SMZ2021R</v>
      </c>
      <c r="D3115" t="s">
        <v>63</v>
      </c>
    </row>
    <row r="3116" spans="1:4" outlineLevel="1" x14ac:dyDescent="0.25">
      <c r="A3116" t="s">
        <v>428</v>
      </c>
      <c r="B3116" t="s">
        <v>64</v>
      </c>
      <c r="C3116" s="1" t="str">
        <f>HYPERLINK("http://продеталь.рф/search.html?article=18592100","18592100")</f>
        <v>18592100</v>
      </c>
      <c r="D3116" t="s">
        <v>4</v>
      </c>
    </row>
    <row r="3117" spans="1:4" outlineLevel="1" x14ac:dyDescent="0.25">
      <c r="A3117" t="s">
        <v>428</v>
      </c>
      <c r="B3117" t="s">
        <v>13</v>
      </c>
      <c r="C3117" s="1" t="str">
        <f>HYPERLINK("http://продеталь.рф/search.html?article=MZ25002702000","MZ25002702000")</f>
        <v>MZ25002702000</v>
      </c>
      <c r="D3117" t="s">
        <v>9</v>
      </c>
    </row>
    <row r="3118" spans="1:4" x14ac:dyDescent="0.25">
      <c r="A3118" t="s">
        <v>429</v>
      </c>
      <c r="B3118" s="2" t="s">
        <v>429</v>
      </c>
      <c r="C3118" s="2"/>
      <c r="D3118" s="2"/>
    </row>
    <row r="3119" spans="1:4" outlineLevel="1" x14ac:dyDescent="0.25">
      <c r="A3119" t="s">
        <v>429</v>
      </c>
      <c r="B3119" t="s">
        <v>11</v>
      </c>
      <c r="C3119" s="1" t="str">
        <f>HYPERLINK("http://продеталь.рф/search.html?article=MZ25100000000","MZ25100000000")</f>
        <v>MZ25100000000</v>
      </c>
      <c r="D3119" t="s">
        <v>9</v>
      </c>
    </row>
    <row r="3120" spans="1:4" outlineLevel="1" x14ac:dyDescent="0.25">
      <c r="A3120" t="s">
        <v>429</v>
      </c>
      <c r="B3120" t="s">
        <v>11</v>
      </c>
      <c r="C3120" s="1" t="str">
        <f>HYPERLINK("http://продеталь.рф/search.html?article=MZ04119BA6","MZ04119BA6")</f>
        <v>MZ04119BA6</v>
      </c>
      <c r="D3120" t="s">
        <v>2</v>
      </c>
    </row>
    <row r="3121" spans="1:4" outlineLevel="1" x14ac:dyDescent="0.25">
      <c r="A3121" t="s">
        <v>429</v>
      </c>
      <c r="B3121" t="s">
        <v>11</v>
      </c>
      <c r="C3121" s="1" t="str">
        <f>HYPERLINK("http://продеталь.рф/search.html?article=6999N","6999N")</f>
        <v>6999N</v>
      </c>
      <c r="D3121" t="s">
        <v>36</v>
      </c>
    </row>
    <row r="3122" spans="1:4" outlineLevel="1" x14ac:dyDescent="0.25">
      <c r="A3122" t="s">
        <v>429</v>
      </c>
      <c r="B3122" t="s">
        <v>15</v>
      </c>
      <c r="C3122" s="1" t="str">
        <f>HYPERLINK("http://продеталь.рф/search.html?article=VMZM1032DR","VMZM1032DR")</f>
        <v>VMZM1032DR</v>
      </c>
      <c r="D3122" t="s">
        <v>6</v>
      </c>
    </row>
    <row r="3123" spans="1:4" outlineLevel="1" x14ac:dyDescent="0.25">
      <c r="A3123" t="s">
        <v>429</v>
      </c>
      <c r="B3123" t="s">
        <v>74</v>
      </c>
      <c r="C3123" s="1" t="str">
        <f>HYPERLINK("http://продеталь.рф/search.html?article=MZ66027A","MZ66027A")</f>
        <v>MZ66027A</v>
      </c>
      <c r="D3123" t="s">
        <v>2</v>
      </c>
    </row>
    <row r="3124" spans="1:4" outlineLevel="1" x14ac:dyDescent="0.25">
      <c r="A3124" t="s">
        <v>429</v>
      </c>
      <c r="B3124" t="s">
        <v>35</v>
      </c>
      <c r="C3124" s="1" t="str">
        <f>HYPERLINK("http://продеталь.рф/search.html?article=PMZ60001A","PMZ60001A")</f>
        <v>PMZ60001A</v>
      </c>
      <c r="D3124" t="s">
        <v>6</v>
      </c>
    </row>
    <row r="3125" spans="1:4" outlineLevel="1" x14ac:dyDescent="0.25">
      <c r="A3125" t="s">
        <v>429</v>
      </c>
      <c r="B3125" t="s">
        <v>84</v>
      </c>
      <c r="C3125" s="1" t="str">
        <f>HYPERLINK("http://продеталь.рф/search.html?article=MZ43090AL","MZ43090AL")</f>
        <v>MZ43090AL</v>
      </c>
      <c r="D3125" t="s">
        <v>2</v>
      </c>
    </row>
    <row r="3126" spans="1:4" outlineLevel="1" x14ac:dyDescent="0.25">
      <c r="A3126" t="s">
        <v>429</v>
      </c>
      <c r="B3126" t="s">
        <v>84</v>
      </c>
      <c r="C3126" s="1" t="str">
        <f>HYPERLINK("http://продеталь.рф/search.html?article=PMZ43090BL","PMZ43090BL")</f>
        <v>PMZ43090BL</v>
      </c>
      <c r="D3126" t="s">
        <v>6</v>
      </c>
    </row>
    <row r="3127" spans="1:4" outlineLevel="1" x14ac:dyDescent="0.25">
      <c r="A3127" t="s">
        <v>429</v>
      </c>
      <c r="B3127" t="s">
        <v>84</v>
      </c>
      <c r="C3127" s="1" t="str">
        <f>HYPERLINK("http://продеталь.рф/search.html?article=MZ251000T0R00","MZ251000T0R00")</f>
        <v>MZ251000T0R00</v>
      </c>
      <c r="D3127" t="s">
        <v>9</v>
      </c>
    </row>
    <row r="3128" spans="1:4" outlineLevel="1" x14ac:dyDescent="0.25">
      <c r="A3128" t="s">
        <v>429</v>
      </c>
      <c r="B3128" t="s">
        <v>24</v>
      </c>
      <c r="C3128" s="1" t="str">
        <f>HYPERLINK("http://продеталь.рф/search.html?article=MZ25101601L00","MZ25101601L00")</f>
        <v>MZ25101601L00</v>
      </c>
      <c r="D3128" t="s">
        <v>9</v>
      </c>
    </row>
    <row r="3129" spans="1:4" outlineLevel="1" x14ac:dyDescent="0.25">
      <c r="A3129" t="s">
        <v>429</v>
      </c>
      <c r="B3129" t="s">
        <v>24</v>
      </c>
      <c r="C3129" s="1" t="str">
        <f>HYPERLINK("http://продеталь.рф/search.html?article=MZ25101601R00","MZ25101601R00")</f>
        <v>MZ25101601R00</v>
      </c>
      <c r="D3129" t="s">
        <v>9</v>
      </c>
    </row>
    <row r="3130" spans="1:4" outlineLevel="1" x14ac:dyDescent="0.25">
      <c r="A3130" t="s">
        <v>429</v>
      </c>
      <c r="B3130" t="s">
        <v>66</v>
      </c>
      <c r="C3130" s="1" t="str">
        <f>HYPERLINK("http://продеталь.рф/search.html?article=BK042","BK042")</f>
        <v>BK042</v>
      </c>
      <c r="D3130" t="s">
        <v>6</v>
      </c>
    </row>
    <row r="3131" spans="1:4" outlineLevel="1" x14ac:dyDescent="0.25">
      <c r="A3131" t="s">
        <v>429</v>
      </c>
      <c r="B3131" t="s">
        <v>3</v>
      </c>
      <c r="C3131" s="1" t="str">
        <f>HYPERLINK("http://продеталь.рф/search.html?article=20B530052B","20B530052B")</f>
        <v>20B530052B</v>
      </c>
      <c r="D3131" t="s">
        <v>4</v>
      </c>
    </row>
    <row r="3132" spans="1:4" outlineLevel="1" x14ac:dyDescent="0.25">
      <c r="A3132" t="s">
        <v>429</v>
      </c>
      <c r="B3132" t="s">
        <v>3</v>
      </c>
      <c r="C3132" s="1" t="str">
        <f>HYPERLINK("http://продеталь.рф/search.html?article=209025051A","209025051A")</f>
        <v>209025051A</v>
      </c>
      <c r="D3132" t="s">
        <v>4</v>
      </c>
    </row>
    <row r="3133" spans="1:4" outlineLevel="1" x14ac:dyDescent="0.25">
      <c r="A3133" t="s">
        <v>429</v>
      </c>
      <c r="B3133" t="s">
        <v>139</v>
      </c>
      <c r="C3133" s="1" t="str">
        <f>HYPERLINK("http://продеталь.рф/search.html?article=PMZ21001AL","PMZ21001AL")</f>
        <v>PMZ21001AL</v>
      </c>
      <c r="D3133" t="s">
        <v>6</v>
      </c>
    </row>
    <row r="3134" spans="1:4" outlineLevel="1" x14ac:dyDescent="0.25">
      <c r="A3134" t="s">
        <v>429</v>
      </c>
      <c r="B3134" t="s">
        <v>139</v>
      </c>
      <c r="C3134" s="1" t="str">
        <f>HYPERLINK("http://продеталь.рф/search.html?article=PMZ21001AR","PMZ21001AR")</f>
        <v>PMZ21001AR</v>
      </c>
      <c r="D3134" t="s">
        <v>6</v>
      </c>
    </row>
    <row r="3135" spans="1:4" outlineLevel="1" x14ac:dyDescent="0.25">
      <c r="A3135" t="s">
        <v>429</v>
      </c>
      <c r="B3135" t="s">
        <v>5</v>
      </c>
      <c r="C3135" s="1" t="str">
        <f>HYPERLINK("http://продеталь.рф/search.html?article=MZ11074AL","MZ11074AL")</f>
        <v>MZ11074AL</v>
      </c>
      <c r="D3135" t="s">
        <v>2</v>
      </c>
    </row>
    <row r="3136" spans="1:4" outlineLevel="1" x14ac:dyDescent="0.25">
      <c r="A3136" t="s">
        <v>429</v>
      </c>
      <c r="B3136" t="s">
        <v>5</v>
      </c>
      <c r="C3136" s="1" t="str">
        <f>HYPERLINK("http://продеталь.рф/search.html?article=MZ11074AR","MZ11074AR")</f>
        <v>MZ11074AR</v>
      </c>
      <c r="D3136" t="s">
        <v>2</v>
      </c>
    </row>
    <row r="3137" spans="1:4" outlineLevel="1" x14ac:dyDescent="0.25">
      <c r="A3137" t="s">
        <v>429</v>
      </c>
      <c r="B3137" t="s">
        <v>19</v>
      </c>
      <c r="C3137" s="1" t="str">
        <f>HYPERLINK("http://продеталь.рф/search.html?article=19A703012B","19A703012B")</f>
        <v>19A703012B</v>
      </c>
      <c r="D3137" t="s">
        <v>4</v>
      </c>
    </row>
    <row r="3138" spans="1:4" outlineLevel="1" x14ac:dyDescent="0.25">
      <c r="A3138" t="s">
        <v>429</v>
      </c>
      <c r="B3138" t="s">
        <v>19</v>
      </c>
      <c r="C3138" s="1" t="str">
        <f>HYPERLINK("http://продеталь.рф/search.html?article=19A704012B","19A704012B")</f>
        <v>19A704012B</v>
      </c>
      <c r="D3138" t="s">
        <v>4</v>
      </c>
    </row>
    <row r="3139" spans="1:4" outlineLevel="1" x14ac:dyDescent="0.25">
      <c r="A3139" t="s">
        <v>429</v>
      </c>
      <c r="B3139" t="s">
        <v>28</v>
      </c>
      <c r="C3139" s="1" t="str">
        <f>HYPERLINK("http://продеталь.рф/search.html?article=613MZA053","613MZA053")</f>
        <v>613MZA053</v>
      </c>
      <c r="D3139" t="s">
        <v>4</v>
      </c>
    </row>
    <row r="3140" spans="1:4" outlineLevel="1" x14ac:dyDescent="0.25">
      <c r="A3140" t="s">
        <v>429</v>
      </c>
      <c r="B3140" t="s">
        <v>8</v>
      </c>
      <c r="C3140" s="1" t="str">
        <f>HYPERLINK("http://продеталь.рф/search.html?article=606MZ2027","606MZ2027")</f>
        <v>606MZ2027</v>
      </c>
      <c r="D3140" t="s">
        <v>4</v>
      </c>
    </row>
    <row r="3141" spans="1:4" outlineLevel="1" x14ac:dyDescent="0.25">
      <c r="A3141" t="s">
        <v>429</v>
      </c>
      <c r="B3141" t="s">
        <v>263</v>
      </c>
      <c r="C3141" s="1" t="str">
        <f>HYPERLINK("http://продеталь.рф/search.html?article=MZ251009S1R00","MZ251009S1R00")</f>
        <v>MZ251009S1R00</v>
      </c>
      <c r="D3141" t="s">
        <v>9</v>
      </c>
    </row>
    <row r="3142" spans="1:4" outlineLevel="1" x14ac:dyDescent="0.25">
      <c r="A3142" t="s">
        <v>429</v>
      </c>
      <c r="B3142" t="s">
        <v>263</v>
      </c>
      <c r="C3142" s="1" t="str">
        <f>HYPERLINK("http://продеталь.рф/search.html?article=PMZH1076AHR","PMZH1076AHR")</f>
        <v>PMZH1076AHR</v>
      </c>
      <c r="D3142" t="s">
        <v>6</v>
      </c>
    </row>
    <row r="3143" spans="1:4" outlineLevel="1" x14ac:dyDescent="0.25">
      <c r="A3143" t="s">
        <v>429</v>
      </c>
      <c r="B3143" t="s">
        <v>55</v>
      </c>
      <c r="C3143" s="1" t="str">
        <f>HYPERLINK("http://продеталь.рф/search.html?article=MZ07107MA","MZ07107MA")</f>
        <v>MZ07107MA</v>
      </c>
      <c r="D3143" t="s">
        <v>2</v>
      </c>
    </row>
    <row r="3144" spans="1:4" outlineLevel="1" x14ac:dyDescent="0.25">
      <c r="A3144" t="s">
        <v>429</v>
      </c>
      <c r="B3144" t="s">
        <v>30</v>
      </c>
      <c r="C3144" s="1" t="str">
        <f>HYPERLINK("http://продеталь.рф/search.html?article=MZ250219R1L00","MZ250219R1L00")</f>
        <v>MZ250219R1L00</v>
      </c>
      <c r="D3144" t="s">
        <v>9</v>
      </c>
    </row>
    <row r="3145" spans="1:4" outlineLevel="1" x14ac:dyDescent="0.25">
      <c r="A3145" t="s">
        <v>429</v>
      </c>
      <c r="B3145" t="s">
        <v>30</v>
      </c>
      <c r="C3145" s="1" t="str">
        <f>HYPERLINK("http://продеталь.рф/search.html?article=MZ250219R1R00","MZ250219R1R00")</f>
        <v>MZ250219R1R00</v>
      </c>
      <c r="D3145" t="s">
        <v>9</v>
      </c>
    </row>
    <row r="3146" spans="1:4" outlineLevel="1" x14ac:dyDescent="0.25">
      <c r="A3146" t="s">
        <v>429</v>
      </c>
      <c r="B3146" t="s">
        <v>40</v>
      </c>
      <c r="C3146" s="1" t="str">
        <f>HYPERLINK("http://продеталь.рф/search.html?article=MZ07108GA","MZ07108GA")</f>
        <v>MZ07108GA</v>
      </c>
      <c r="D3146" t="s">
        <v>2</v>
      </c>
    </row>
    <row r="3147" spans="1:4" outlineLevel="1" x14ac:dyDescent="0.25">
      <c r="A3147" t="s">
        <v>429</v>
      </c>
      <c r="B3147" t="s">
        <v>12</v>
      </c>
      <c r="C3147" s="1" t="str">
        <f>HYPERLINK("http://продеталь.рф/search.html?article=MZ07107GA","MZ07107GA")</f>
        <v>MZ07107GA</v>
      </c>
      <c r="D3147" t="s">
        <v>2</v>
      </c>
    </row>
    <row r="3148" spans="1:4" outlineLevel="1" x14ac:dyDescent="0.25">
      <c r="A3148" t="s">
        <v>429</v>
      </c>
      <c r="B3148" t="s">
        <v>75</v>
      </c>
      <c r="C3148" s="1" t="str">
        <f>HYPERLINK("http://продеталь.рф/search.html?article=18A451002B","18A451002B")</f>
        <v>18A451002B</v>
      </c>
      <c r="D3148" t="s">
        <v>4</v>
      </c>
    </row>
    <row r="3149" spans="1:4" outlineLevel="1" x14ac:dyDescent="0.25">
      <c r="A3149" t="s">
        <v>429</v>
      </c>
      <c r="B3149" t="s">
        <v>13</v>
      </c>
      <c r="C3149" s="1" t="str">
        <f>HYPERLINK("http://продеталь.рф/search.html?article=PMZ44088A","PMZ44088A")</f>
        <v>PMZ44088A</v>
      </c>
      <c r="D3149" t="s">
        <v>6</v>
      </c>
    </row>
    <row r="3150" spans="1:4" outlineLevel="1" x14ac:dyDescent="0.25">
      <c r="A3150" t="s">
        <v>429</v>
      </c>
      <c r="B3150" t="s">
        <v>13</v>
      </c>
      <c r="C3150" s="1" t="str">
        <f>HYPERLINK("http://продеталь.рф/search.html?article=MZ44090A","MZ44090A")</f>
        <v>MZ44090A</v>
      </c>
      <c r="D3150" t="s">
        <v>2</v>
      </c>
    </row>
    <row r="3151" spans="1:4" x14ac:dyDescent="0.25">
      <c r="A3151" t="s">
        <v>430</v>
      </c>
      <c r="B3151" s="2" t="s">
        <v>430</v>
      </c>
      <c r="C3151" s="2"/>
      <c r="D3151" s="2"/>
    </row>
    <row r="3152" spans="1:4" outlineLevel="1" x14ac:dyDescent="0.25">
      <c r="A3152" t="s">
        <v>430</v>
      </c>
      <c r="B3152" t="s">
        <v>41</v>
      </c>
      <c r="C3152" s="1" t="str">
        <f>HYPERLINK("http://продеталь.рф/search.html?article=SMZ1113R","SMZ1113R")</f>
        <v>SMZ1113R</v>
      </c>
      <c r="D3152" t="s">
        <v>4</v>
      </c>
    </row>
    <row r="3153" spans="1:4" outlineLevel="1" x14ac:dyDescent="0.25">
      <c r="A3153" t="s">
        <v>430</v>
      </c>
      <c r="B3153" t="s">
        <v>16</v>
      </c>
      <c r="C3153" s="1" t="str">
        <f>HYPERLINK("http://продеталь.рф/search.html?article=MZ1522L","MZ1522L")</f>
        <v>MZ1522L</v>
      </c>
      <c r="D3153" t="s">
        <v>4</v>
      </c>
    </row>
    <row r="3154" spans="1:4" outlineLevel="1" x14ac:dyDescent="0.25">
      <c r="A3154" t="s">
        <v>430</v>
      </c>
      <c r="B3154" t="s">
        <v>16</v>
      </c>
      <c r="C3154" s="1" t="str">
        <f>HYPERLINK("http://продеталь.рф/search.html?article=MZ1522R","MZ1522R")</f>
        <v>MZ1522R</v>
      </c>
      <c r="D3154" t="s">
        <v>4</v>
      </c>
    </row>
    <row r="3155" spans="1:4" outlineLevel="1" x14ac:dyDescent="0.25">
      <c r="A3155" t="s">
        <v>430</v>
      </c>
      <c r="B3155" t="s">
        <v>64</v>
      </c>
      <c r="C3155" s="1" t="str">
        <f>HYPERLINK("http://продеталь.рф/search.html?article=121243006","121243006")</f>
        <v>121243006</v>
      </c>
      <c r="D3155" t="s">
        <v>4</v>
      </c>
    </row>
    <row r="3156" spans="1:4" x14ac:dyDescent="0.25">
      <c r="A3156" t="s">
        <v>431</v>
      </c>
      <c r="B3156" s="2" t="s">
        <v>431</v>
      </c>
      <c r="C3156" s="2"/>
      <c r="D3156" s="2"/>
    </row>
    <row r="3157" spans="1:4" outlineLevel="1" x14ac:dyDescent="0.25">
      <c r="A3157" t="s">
        <v>431</v>
      </c>
      <c r="B3157" t="s">
        <v>3</v>
      </c>
      <c r="C3157" s="1" t="str">
        <f>HYPERLINK("http://продеталь.рф/search.html?article=201659052","201659052")</f>
        <v>201659052</v>
      </c>
      <c r="D3157" t="s">
        <v>4</v>
      </c>
    </row>
    <row r="3158" spans="1:4" outlineLevel="1" x14ac:dyDescent="0.25">
      <c r="A3158" t="s">
        <v>431</v>
      </c>
      <c r="B3158" t="s">
        <v>3</v>
      </c>
      <c r="C3158" s="1" t="str">
        <f>HYPERLINK("http://продеталь.рф/search.html?article=201658052","201658052")</f>
        <v>201658052</v>
      </c>
      <c r="D3158" t="s">
        <v>4</v>
      </c>
    </row>
    <row r="3159" spans="1:4" outlineLevel="1" x14ac:dyDescent="0.25">
      <c r="A3159" t="s">
        <v>431</v>
      </c>
      <c r="B3159" t="s">
        <v>54</v>
      </c>
      <c r="C3159" s="1" t="str">
        <f>HYPERLINK("http://продеталь.рф/search.html?article=3438011","3438011")</f>
        <v>3438011</v>
      </c>
      <c r="D3159" t="s">
        <v>46</v>
      </c>
    </row>
    <row r="3160" spans="1:4" outlineLevel="1" x14ac:dyDescent="0.25">
      <c r="A3160" t="s">
        <v>431</v>
      </c>
      <c r="B3160" t="s">
        <v>54</v>
      </c>
      <c r="C3160" s="1" t="str">
        <f>HYPERLINK("http://продеталь.рф/search.html?article=3438012","3438012")</f>
        <v>3438012</v>
      </c>
      <c r="D3160" t="s">
        <v>46</v>
      </c>
    </row>
    <row r="3161" spans="1:4" outlineLevel="1" x14ac:dyDescent="0.25">
      <c r="A3161" t="s">
        <v>431</v>
      </c>
      <c r="B3161" t="s">
        <v>28</v>
      </c>
      <c r="C3161" s="1" t="str">
        <f>HYPERLINK("http://продеталь.рф/search.html?article=RA62405A","RA62405A")</f>
        <v>RA62405A</v>
      </c>
      <c r="D3161" t="s">
        <v>6</v>
      </c>
    </row>
    <row r="3162" spans="1:4" outlineLevel="1" x14ac:dyDescent="0.25">
      <c r="A3162" t="s">
        <v>431</v>
      </c>
      <c r="B3162" t="s">
        <v>12</v>
      </c>
      <c r="C3162" s="1" t="str">
        <f>HYPERLINK("http://продеталь.рф/search.html?article=MZ220930","MZ220930")</f>
        <v>MZ220930</v>
      </c>
      <c r="D3162" t="s">
        <v>9</v>
      </c>
    </row>
    <row r="3163" spans="1:4" outlineLevel="1" x14ac:dyDescent="0.25">
      <c r="A3163" t="s">
        <v>431</v>
      </c>
      <c r="B3163" t="s">
        <v>16</v>
      </c>
      <c r="C3163" s="1" t="str">
        <f>HYPERLINK("http://продеталь.рф/search.html?article=185086052","185086052")</f>
        <v>185086052</v>
      </c>
      <c r="D3163" t="s">
        <v>4</v>
      </c>
    </row>
    <row r="3164" spans="1:4" outlineLevel="1" x14ac:dyDescent="0.25">
      <c r="A3164" t="s">
        <v>431</v>
      </c>
      <c r="B3164" t="s">
        <v>16</v>
      </c>
      <c r="C3164" s="1" t="str">
        <f>HYPERLINK("http://продеталь.рф/search.html?article=185085052","185085052")</f>
        <v>185085052</v>
      </c>
      <c r="D3164" t="s">
        <v>4</v>
      </c>
    </row>
    <row r="3165" spans="1:4" x14ac:dyDescent="0.25">
      <c r="A3165" t="s">
        <v>432</v>
      </c>
      <c r="B3165" s="2" t="s">
        <v>432</v>
      </c>
      <c r="C3165" s="2"/>
      <c r="D3165" s="2"/>
    </row>
    <row r="3166" spans="1:4" outlineLevel="1" x14ac:dyDescent="0.25">
      <c r="A3166" t="s">
        <v>432</v>
      </c>
      <c r="B3166" t="s">
        <v>24</v>
      </c>
      <c r="C3166" s="1" t="str">
        <f>HYPERLINK("http://продеталь.рф/search.html?article=MZ10026BL","MZ10026BL")</f>
        <v>MZ10026BL</v>
      </c>
      <c r="D3166" t="s">
        <v>2</v>
      </c>
    </row>
    <row r="3167" spans="1:4" outlineLevel="1" x14ac:dyDescent="0.25">
      <c r="A3167" t="s">
        <v>432</v>
      </c>
      <c r="B3167" t="s">
        <v>24</v>
      </c>
      <c r="C3167" s="1" t="str">
        <f>HYPERLINK("http://продеталь.рф/search.html?article=MZ10026BR","MZ10026BR")</f>
        <v>MZ10026BR</v>
      </c>
      <c r="D3167" t="s">
        <v>2</v>
      </c>
    </row>
    <row r="3168" spans="1:4" outlineLevel="1" x14ac:dyDescent="0.25">
      <c r="A3168" t="s">
        <v>432</v>
      </c>
      <c r="B3168" t="s">
        <v>3</v>
      </c>
      <c r="C3168" s="1" t="str">
        <f>HYPERLINK("http://продеталь.рф/search.html?article=203111052","203111052")</f>
        <v>203111052</v>
      </c>
      <c r="D3168" t="s">
        <v>4</v>
      </c>
    </row>
    <row r="3169" spans="1:4" outlineLevel="1" x14ac:dyDescent="0.25">
      <c r="A3169" t="s">
        <v>432</v>
      </c>
      <c r="B3169" t="s">
        <v>3</v>
      </c>
      <c r="C3169" s="1" t="str">
        <f>HYPERLINK("http://продеталь.рф/search.html?article=203110052","203110052")</f>
        <v>203110052</v>
      </c>
      <c r="D3169" t="s">
        <v>4</v>
      </c>
    </row>
    <row r="3170" spans="1:4" outlineLevel="1" x14ac:dyDescent="0.25">
      <c r="A3170" t="s">
        <v>432</v>
      </c>
      <c r="B3170" t="s">
        <v>3</v>
      </c>
      <c r="C3170" s="1" t="str">
        <f>HYPERLINK("http://продеталь.рф/search.html?article=203111182","203111182")</f>
        <v>203111182</v>
      </c>
      <c r="D3170" t="s">
        <v>4</v>
      </c>
    </row>
    <row r="3171" spans="1:4" outlineLevel="1" x14ac:dyDescent="0.25">
      <c r="A3171" t="s">
        <v>432</v>
      </c>
      <c r="B3171" t="s">
        <v>3</v>
      </c>
      <c r="C3171" s="1" t="str">
        <f>HYPERLINK("http://продеталь.рф/search.html?article=203110182","203110182")</f>
        <v>203110182</v>
      </c>
      <c r="D3171" t="s">
        <v>4</v>
      </c>
    </row>
    <row r="3172" spans="1:4" outlineLevel="1" x14ac:dyDescent="0.25">
      <c r="A3172" t="s">
        <v>432</v>
      </c>
      <c r="B3172" t="s">
        <v>28</v>
      </c>
      <c r="C3172" s="1" t="str">
        <f>HYPERLINK("http://продеталь.рф/search.html?article=RA62392A","RA62392A")</f>
        <v>RA62392A</v>
      </c>
      <c r="D3172" t="s">
        <v>6</v>
      </c>
    </row>
    <row r="3173" spans="1:4" outlineLevel="1" x14ac:dyDescent="0.25">
      <c r="A3173" t="s">
        <v>432</v>
      </c>
      <c r="B3173" t="s">
        <v>29</v>
      </c>
      <c r="C3173" s="1" t="str">
        <f>HYPERLINK("http://продеталь.рф/search.html?article=RP71957","RP71957")</f>
        <v>RP71957</v>
      </c>
      <c r="D3173" t="s">
        <v>6</v>
      </c>
    </row>
    <row r="3174" spans="1:4" outlineLevel="1" x14ac:dyDescent="0.25">
      <c r="A3174" t="s">
        <v>432</v>
      </c>
      <c r="B3174" t="s">
        <v>12</v>
      </c>
      <c r="C3174" s="1" t="str">
        <f>HYPERLINK("http://продеталь.рф/search.html?article=MZ07042GB","MZ07042GB")</f>
        <v>MZ07042GB</v>
      </c>
      <c r="D3174" t="s">
        <v>2</v>
      </c>
    </row>
    <row r="3175" spans="1:4" outlineLevel="1" x14ac:dyDescent="0.25">
      <c r="A3175" t="s">
        <v>432</v>
      </c>
      <c r="B3175" t="s">
        <v>16</v>
      </c>
      <c r="C3175" s="1" t="str">
        <f>HYPERLINK("http://продеталь.рф/search.html?article=183173052","183173052")</f>
        <v>183173052</v>
      </c>
      <c r="D3175" t="s">
        <v>4</v>
      </c>
    </row>
    <row r="3176" spans="1:4" outlineLevel="1" x14ac:dyDescent="0.25">
      <c r="A3176" t="s">
        <v>432</v>
      </c>
      <c r="B3176" t="s">
        <v>16</v>
      </c>
      <c r="C3176" s="1" t="str">
        <f>HYPERLINK("http://продеталь.рф/search.html?article=183172052","183172052")</f>
        <v>183172052</v>
      </c>
      <c r="D3176" t="s">
        <v>4</v>
      </c>
    </row>
    <row r="3177" spans="1:4" x14ac:dyDescent="0.25">
      <c r="A3177" t="s">
        <v>433</v>
      </c>
      <c r="B3177" s="2" t="s">
        <v>433</v>
      </c>
      <c r="C3177" s="2"/>
      <c r="D3177" s="2"/>
    </row>
    <row r="3178" spans="1:4" outlineLevel="1" x14ac:dyDescent="0.25">
      <c r="A3178" t="s">
        <v>433</v>
      </c>
      <c r="B3178" t="s">
        <v>11</v>
      </c>
      <c r="C3178" s="1" t="str">
        <f>HYPERLINK("http://продеталь.рф/search.html?article=MZ04055BA","MZ04055BA")</f>
        <v>MZ04055BA</v>
      </c>
      <c r="D3178" t="s">
        <v>2</v>
      </c>
    </row>
    <row r="3179" spans="1:4" outlineLevel="1" x14ac:dyDescent="0.25">
      <c r="A3179" t="s">
        <v>433</v>
      </c>
      <c r="B3179" t="s">
        <v>15</v>
      </c>
      <c r="C3179" s="1" t="str">
        <f>HYPERLINK("http://продеталь.рф/search.html?article=3200010","3200010")</f>
        <v>3200010</v>
      </c>
      <c r="D3179" t="s">
        <v>4</v>
      </c>
    </row>
    <row r="3180" spans="1:4" outlineLevel="1" x14ac:dyDescent="0.25">
      <c r="A3180" t="s">
        <v>433</v>
      </c>
      <c r="B3180" t="s">
        <v>15</v>
      </c>
      <c r="C3180" s="1" t="str">
        <f>HYPERLINK("http://продеталь.рф/search.html?article=3200009","3200009")</f>
        <v>3200009</v>
      </c>
      <c r="D3180" t="s">
        <v>4</v>
      </c>
    </row>
    <row r="3181" spans="1:4" outlineLevel="1" x14ac:dyDescent="0.25">
      <c r="A3181" t="s">
        <v>433</v>
      </c>
      <c r="B3181" t="s">
        <v>45</v>
      </c>
      <c r="C3181" s="1" t="str">
        <f>HYPERLINK("http://продеталь.рф/search.html?article=3450581","3450581")</f>
        <v>3450581</v>
      </c>
      <c r="D3181" t="s">
        <v>46</v>
      </c>
    </row>
    <row r="3182" spans="1:4" outlineLevel="1" x14ac:dyDescent="0.25">
      <c r="A3182" t="s">
        <v>433</v>
      </c>
      <c r="B3182" t="s">
        <v>45</v>
      </c>
      <c r="C3182" s="1" t="str">
        <f>HYPERLINK("http://продеталь.рф/search.html?article=3450582","3450582")</f>
        <v>3450582</v>
      </c>
      <c r="D3182" t="s">
        <v>46</v>
      </c>
    </row>
    <row r="3183" spans="1:4" outlineLevel="1" x14ac:dyDescent="0.25">
      <c r="A3183" t="s">
        <v>433</v>
      </c>
      <c r="B3183" t="s">
        <v>26</v>
      </c>
      <c r="C3183" s="1" t="str">
        <f>HYPERLINK("http://продеталь.рф/search.html?article=MZ24000MC2","MZ24000MC2")</f>
        <v>MZ24000MC2</v>
      </c>
      <c r="D3183" t="s">
        <v>9</v>
      </c>
    </row>
    <row r="3184" spans="1:4" outlineLevel="1" x14ac:dyDescent="0.25">
      <c r="A3184" t="s">
        <v>433</v>
      </c>
      <c r="B3184" t="s">
        <v>27</v>
      </c>
      <c r="C3184" s="1" t="str">
        <f>HYPERLINK("http://продеталь.рф/search.html?article=MZ24000901000","MZ24000901000")</f>
        <v>MZ24000901000</v>
      </c>
      <c r="D3184" t="s">
        <v>9</v>
      </c>
    </row>
    <row r="3185" spans="1:4" outlineLevel="1" x14ac:dyDescent="0.25">
      <c r="A3185" t="s">
        <v>433</v>
      </c>
      <c r="B3185" t="s">
        <v>3</v>
      </c>
      <c r="C3185" s="1" t="str">
        <f>HYPERLINK("http://продеталь.рф/search.html?article=206057051A","206057051A")</f>
        <v>206057051A</v>
      </c>
      <c r="D3185" t="s">
        <v>4</v>
      </c>
    </row>
    <row r="3186" spans="1:4" outlineLevel="1" x14ac:dyDescent="0.25">
      <c r="A3186" t="s">
        <v>433</v>
      </c>
      <c r="B3186" t="s">
        <v>54</v>
      </c>
      <c r="C3186" s="1" t="str">
        <f>HYPERLINK("http://продеталь.рф/search.html?article=3450012","3450012")</f>
        <v>3450012</v>
      </c>
      <c r="D3186" t="s">
        <v>46</v>
      </c>
    </row>
    <row r="3187" spans="1:4" outlineLevel="1" x14ac:dyDescent="0.25">
      <c r="A3187" t="s">
        <v>433</v>
      </c>
      <c r="B3187" t="s">
        <v>19</v>
      </c>
      <c r="C3187" s="1" t="str">
        <f>HYPERLINK("http://продеталь.рф/search.html?article=195206152","195206152")</f>
        <v>195206152</v>
      </c>
      <c r="D3187" t="s">
        <v>4</v>
      </c>
    </row>
    <row r="3188" spans="1:4" outlineLevel="1" x14ac:dyDescent="0.25">
      <c r="A3188" t="s">
        <v>433</v>
      </c>
      <c r="B3188" t="s">
        <v>39</v>
      </c>
      <c r="C3188" s="1" t="str">
        <f>HYPERLINK("http://продеталь.рф/search.html?article=AFMZ102","AFMZ102")</f>
        <v>AFMZ102</v>
      </c>
      <c r="D3188" t="s">
        <v>6</v>
      </c>
    </row>
    <row r="3189" spans="1:4" outlineLevel="1" x14ac:dyDescent="0.25">
      <c r="A3189" t="s">
        <v>433</v>
      </c>
      <c r="B3189" t="s">
        <v>12</v>
      </c>
      <c r="C3189" s="1" t="str">
        <f>HYPERLINK("http://продеталь.рф/search.html?article=MZ07061GB","MZ07061GB")</f>
        <v>MZ07061GB</v>
      </c>
      <c r="D3189" t="s">
        <v>2</v>
      </c>
    </row>
    <row r="3190" spans="1:4" outlineLevel="1" x14ac:dyDescent="0.25">
      <c r="A3190" t="s">
        <v>433</v>
      </c>
      <c r="B3190" t="s">
        <v>12</v>
      </c>
      <c r="C3190" s="1" t="str">
        <f>HYPERLINK("http://продеталь.рф/search.html?article=MZ07076GA","MZ07076GA")</f>
        <v>MZ07076GA</v>
      </c>
      <c r="D3190" t="s">
        <v>2</v>
      </c>
    </row>
    <row r="3191" spans="1:4" outlineLevel="1" x14ac:dyDescent="0.25">
      <c r="A3191" t="s">
        <v>433</v>
      </c>
      <c r="B3191" t="s">
        <v>16</v>
      </c>
      <c r="C3191" s="1" t="str">
        <f>HYPERLINK("http://продеталь.рф/search.html?article=185490052","185490052")</f>
        <v>185490052</v>
      </c>
      <c r="D3191" t="s">
        <v>4</v>
      </c>
    </row>
    <row r="3192" spans="1:4" outlineLevel="1" x14ac:dyDescent="0.25">
      <c r="A3192" t="s">
        <v>433</v>
      </c>
      <c r="B3192" t="s">
        <v>16</v>
      </c>
      <c r="C3192" s="1" t="str">
        <f>HYPERLINK("http://продеталь.рф/search.html?article=185489052","185489052")</f>
        <v>185489052</v>
      </c>
      <c r="D3192" t="s">
        <v>4</v>
      </c>
    </row>
    <row r="3193" spans="1:4" x14ac:dyDescent="0.25">
      <c r="A3193" t="s">
        <v>434</v>
      </c>
      <c r="B3193" s="2" t="s">
        <v>434</v>
      </c>
      <c r="C3193" s="2"/>
      <c r="D3193" s="2"/>
    </row>
    <row r="3194" spans="1:4" outlineLevel="1" x14ac:dyDescent="0.25">
      <c r="A3194" t="s">
        <v>434</v>
      </c>
      <c r="B3194" t="s">
        <v>74</v>
      </c>
      <c r="C3194" s="1" t="str">
        <f>HYPERLINK("http://продеталь.рф/search.html?article=682MZA007","682MZA007")</f>
        <v>682MZA007</v>
      </c>
      <c r="D3194" t="s">
        <v>4</v>
      </c>
    </row>
    <row r="3195" spans="1:4" outlineLevel="1" x14ac:dyDescent="0.25">
      <c r="A3195" t="s">
        <v>434</v>
      </c>
      <c r="B3195" t="s">
        <v>101</v>
      </c>
      <c r="C3195" s="1" t="str">
        <f>HYPERLINK("http://продеталь.рф/search.html?article=350MZF003","350MZF003")</f>
        <v>350MZF003</v>
      </c>
      <c r="D3195" t="s">
        <v>4</v>
      </c>
    </row>
    <row r="3196" spans="1:4" outlineLevel="1" x14ac:dyDescent="0.25">
      <c r="A3196" t="s">
        <v>434</v>
      </c>
      <c r="B3196" t="s">
        <v>1</v>
      </c>
      <c r="C3196" s="1" t="str">
        <f>HYPERLINK("http://продеталь.рф/search.html?article=PMZ20044A","PMZ20044A")</f>
        <v>PMZ20044A</v>
      </c>
      <c r="D3196" t="s">
        <v>6</v>
      </c>
    </row>
    <row r="3197" spans="1:4" outlineLevel="1" x14ac:dyDescent="0.25">
      <c r="A3197" t="s">
        <v>434</v>
      </c>
      <c r="B3197" t="s">
        <v>24</v>
      </c>
      <c r="C3197" s="1" t="str">
        <f>HYPERLINK("http://продеталь.рф/search.html?article=PMZ10062AR","PMZ10062AR")</f>
        <v>PMZ10062AR</v>
      </c>
      <c r="D3197" t="s">
        <v>6</v>
      </c>
    </row>
    <row r="3198" spans="1:4" outlineLevel="1" x14ac:dyDescent="0.25">
      <c r="A3198" t="s">
        <v>434</v>
      </c>
      <c r="B3198" t="s">
        <v>24</v>
      </c>
      <c r="C3198" s="1" t="str">
        <f>HYPERLINK("http://продеталь.рф/search.html?article=PMZ10062AL","PMZ10062AL")</f>
        <v>PMZ10062AL</v>
      </c>
      <c r="D3198" t="s">
        <v>6</v>
      </c>
    </row>
    <row r="3199" spans="1:4" outlineLevel="1" x14ac:dyDescent="0.25">
      <c r="A3199" t="s">
        <v>434</v>
      </c>
      <c r="B3199" t="s">
        <v>27</v>
      </c>
      <c r="C3199" s="1" t="str">
        <f>HYPERLINK("http://продеталь.рф/search.html?article=PMZ30008A","PMZ30008A")</f>
        <v>PMZ30008A</v>
      </c>
      <c r="D3199" t="s">
        <v>6</v>
      </c>
    </row>
    <row r="3200" spans="1:4" outlineLevel="1" x14ac:dyDescent="0.25">
      <c r="A3200" t="s">
        <v>434</v>
      </c>
      <c r="B3200" t="s">
        <v>3</v>
      </c>
      <c r="C3200" s="1" t="str">
        <f>HYPERLINK("http://продеталь.рф/search.html?article=206937011A","206937011A")</f>
        <v>206937011A</v>
      </c>
      <c r="D3200" t="s">
        <v>4</v>
      </c>
    </row>
    <row r="3201" spans="1:4" outlineLevel="1" x14ac:dyDescent="0.25">
      <c r="A3201" t="s">
        <v>434</v>
      </c>
      <c r="B3201" t="s">
        <v>19</v>
      </c>
      <c r="C3201" s="1" t="str">
        <f>HYPERLINK("http://продеталь.рф/search.html?article=195854A01A","195854A01A")</f>
        <v>195854A01A</v>
      </c>
      <c r="D3201" t="s">
        <v>4</v>
      </c>
    </row>
    <row r="3202" spans="1:4" outlineLevel="1" x14ac:dyDescent="0.25">
      <c r="A3202" t="s">
        <v>434</v>
      </c>
      <c r="B3202" t="s">
        <v>28</v>
      </c>
      <c r="C3202" s="1" t="str">
        <f>HYPERLINK("http://продеталь.рф/search.html?article=RA28748","RA28748")</f>
        <v>RA28748</v>
      </c>
      <c r="D3202" t="s">
        <v>6</v>
      </c>
    </row>
    <row r="3203" spans="1:4" outlineLevel="1" x14ac:dyDescent="0.25">
      <c r="A3203" t="s">
        <v>434</v>
      </c>
      <c r="B3203" t="s">
        <v>8</v>
      </c>
      <c r="C3203" s="1" t="str">
        <f>HYPERLINK("http://продеталь.рф/search.html?article=RC940049","RC940049")</f>
        <v>RC940049</v>
      </c>
      <c r="D3203" t="s">
        <v>6</v>
      </c>
    </row>
    <row r="3204" spans="1:4" outlineLevel="1" x14ac:dyDescent="0.25">
      <c r="A3204" t="s">
        <v>434</v>
      </c>
      <c r="B3204" t="s">
        <v>435</v>
      </c>
      <c r="C3204" s="1" t="str">
        <f>HYPERLINK("http://продеталь.рф/search.html?article=MZB1009A","MZB1009A")</f>
        <v>MZB1009A</v>
      </c>
      <c r="D3204" t="s">
        <v>2</v>
      </c>
    </row>
    <row r="3205" spans="1:4" outlineLevel="1" x14ac:dyDescent="0.25">
      <c r="A3205" t="s">
        <v>434</v>
      </c>
      <c r="B3205" t="s">
        <v>40</v>
      </c>
      <c r="C3205" s="1" t="str">
        <f>HYPERLINK("http://продеталь.рф/search.html?article=312MZ0140","312MZ0140")</f>
        <v>312MZ0140</v>
      </c>
      <c r="D3205" t="s">
        <v>4</v>
      </c>
    </row>
    <row r="3206" spans="1:4" x14ac:dyDescent="0.25">
      <c r="A3206" t="s">
        <v>436</v>
      </c>
      <c r="B3206" s="2" t="s">
        <v>436</v>
      </c>
      <c r="C3206" s="2"/>
      <c r="D3206" s="2"/>
    </row>
    <row r="3207" spans="1:4" outlineLevel="1" x14ac:dyDescent="0.25">
      <c r="A3207" t="s">
        <v>436</v>
      </c>
      <c r="B3207" t="s">
        <v>24</v>
      </c>
      <c r="C3207" s="1" t="str">
        <f>HYPERLINK("http://продеталь.рф/search.html?article=MZ10066AL","MZ10066AL")</f>
        <v>MZ10066AL</v>
      </c>
      <c r="D3207" t="s">
        <v>2</v>
      </c>
    </row>
    <row r="3208" spans="1:4" outlineLevel="1" x14ac:dyDescent="0.25">
      <c r="A3208" t="s">
        <v>436</v>
      </c>
      <c r="B3208" t="s">
        <v>139</v>
      </c>
      <c r="C3208" s="1" t="str">
        <f>HYPERLINK("http://продеталь.рф/search.html?article=MZ21051AL","MZ21051AL")</f>
        <v>MZ21051AL</v>
      </c>
      <c r="D3208" t="s">
        <v>2</v>
      </c>
    </row>
    <row r="3209" spans="1:4" outlineLevel="1" x14ac:dyDescent="0.25">
      <c r="A3209" t="s">
        <v>436</v>
      </c>
      <c r="B3209" t="s">
        <v>139</v>
      </c>
      <c r="C3209" s="1" t="str">
        <f>HYPERLINK("http://продеталь.рф/search.html?article=MZ21051AR","MZ21051AR")</f>
        <v>MZ21051AR</v>
      </c>
      <c r="D3209" t="s">
        <v>2</v>
      </c>
    </row>
    <row r="3210" spans="1:4" outlineLevel="1" x14ac:dyDescent="0.25">
      <c r="A3210" t="s">
        <v>436</v>
      </c>
      <c r="B3210" t="s">
        <v>12</v>
      </c>
      <c r="C3210" s="1" t="str">
        <f>HYPERLINK("http://продеталь.рф/search.html?article=MZ07124GA","MZ07124GA")</f>
        <v>MZ07124GA</v>
      </c>
      <c r="D3210" t="s">
        <v>2</v>
      </c>
    </row>
    <row r="3211" spans="1:4" x14ac:dyDescent="0.25">
      <c r="A3211" t="s">
        <v>437</v>
      </c>
      <c r="B3211" s="2" t="s">
        <v>437</v>
      </c>
      <c r="C3211" s="2"/>
      <c r="D3211" s="2"/>
    </row>
    <row r="3212" spans="1:4" outlineLevel="1" x14ac:dyDescent="0.25">
      <c r="A3212" t="s">
        <v>437</v>
      </c>
      <c r="B3212" t="s">
        <v>11</v>
      </c>
      <c r="C3212" s="1" t="str">
        <f>HYPERLINK("http://продеталь.рф/search.html?article=MZ81000003000","MZ81000003000")</f>
        <v>MZ81000003000</v>
      </c>
      <c r="D3212" t="s">
        <v>9</v>
      </c>
    </row>
    <row r="3213" spans="1:4" outlineLevel="1" x14ac:dyDescent="0.25">
      <c r="A3213" t="s">
        <v>437</v>
      </c>
      <c r="B3213" t="s">
        <v>438</v>
      </c>
      <c r="C3213" s="1" t="str">
        <f>HYPERLINK("http://продеталь.рф/search.html?article=MZ10034AR","MZ10034AR")</f>
        <v>MZ10034AR</v>
      </c>
      <c r="D3213" t="s">
        <v>2</v>
      </c>
    </row>
    <row r="3214" spans="1:4" x14ac:dyDescent="0.25">
      <c r="A3214" t="s">
        <v>439</v>
      </c>
      <c r="B3214" s="2" t="s">
        <v>439</v>
      </c>
      <c r="C3214" s="2"/>
      <c r="D3214" s="2"/>
    </row>
    <row r="3215" spans="1:4" outlineLevel="1" x14ac:dyDescent="0.25">
      <c r="A3215" t="s">
        <v>439</v>
      </c>
      <c r="B3215" t="s">
        <v>15</v>
      </c>
      <c r="C3215" s="1" t="str">
        <f>HYPERLINK("http://продеталь.рф/search.html?article=MZ82941B1","MZ82941B1")</f>
        <v>MZ82941B1</v>
      </c>
      <c r="D3215" t="s">
        <v>9</v>
      </c>
    </row>
    <row r="3216" spans="1:4" outlineLevel="1" x14ac:dyDescent="0.25">
      <c r="A3216" t="s">
        <v>439</v>
      </c>
      <c r="B3216" t="s">
        <v>15</v>
      </c>
      <c r="C3216" s="1" t="str">
        <f>HYPERLINK("http://продеталь.рф/search.html?article=MZ82941A2","MZ82941A2")</f>
        <v>MZ82941A2</v>
      </c>
      <c r="D3216" t="s">
        <v>9</v>
      </c>
    </row>
    <row r="3217" spans="1:4" outlineLevel="1" x14ac:dyDescent="0.25">
      <c r="A3217" t="s">
        <v>439</v>
      </c>
      <c r="B3217" t="s">
        <v>1</v>
      </c>
      <c r="C3217" s="1" t="str">
        <f>HYPERLINK("http://продеталь.рф/search.html?article=MZ82015A0","MZ82015A0")</f>
        <v>MZ82015A0</v>
      </c>
      <c r="D3217" t="s">
        <v>9</v>
      </c>
    </row>
    <row r="3218" spans="1:4" outlineLevel="1" x14ac:dyDescent="0.25">
      <c r="A3218" t="s">
        <v>439</v>
      </c>
      <c r="B3218" t="s">
        <v>24</v>
      </c>
      <c r="C3218" s="1" t="str">
        <f>HYPERLINK("http://продеталь.рф/search.html?article=MZ10037AL","MZ10037AL")</f>
        <v>MZ10037AL</v>
      </c>
      <c r="D3218" t="s">
        <v>2</v>
      </c>
    </row>
    <row r="3219" spans="1:4" outlineLevel="1" x14ac:dyDescent="0.25">
      <c r="A3219" t="s">
        <v>439</v>
      </c>
      <c r="B3219" t="s">
        <v>3</v>
      </c>
      <c r="C3219" s="1" t="str">
        <f>HYPERLINK("http://продеталь.рф/search.html?article=MZ82210S1","MZ82210S1")</f>
        <v>MZ82210S1</v>
      </c>
      <c r="D3219" t="s">
        <v>9</v>
      </c>
    </row>
    <row r="3220" spans="1:4" x14ac:dyDescent="0.25">
      <c r="A3220" t="s">
        <v>440</v>
      </c>
      <c r="B3220" s="2" t="s">
        <v>440</v>
      </c>
      <c r="C3220" s="2"/>
      <c r="D3220" s="2"/>
    </row>
    <row r="3221" spans="1:4" outlineLevel="1" x14ac:dyDescent="0.25">
      <c r="A3221" t="s">
        <v>440</v>
      </c>
      <c r="B3221" t="s">
        <v>15</v>
      </c>
      <c r="C3221" s="1" t="str">
        <f>HYPERLINK("http://продеталь.рф/search.html?article=3200022","3200022")</f>
        <v>3200022</v>
      </c>
      <c r="D3221" t="s">
        <v>4</v>
      </c>
    </row>
    <row r="3222" spans="1:4" outlineLevel="1" x14ac:dyDescent="0.25">
      <c r="A3222" t="s">
        <v>440</v>
      </c>
      <c r="B3222" t="s">
        <v>15</v>
      </c>
      <c r="C3222" s="1" t="str">
        <f>HYPERLINK("http://продеталь.рф/search.html?article=3200021","3200021")</f>
        <v>3200021</v>
      </c>
      <c r="D3222" t="s">
        <v>4</v>
      </c>
    </row>
    <row r="3223" spans="1:4" outlineLevel="1" x14ac:dyDescent="0.25">
      <c r="A3223" t="s">
        <v>440</v>
      </c>
      <c r="B3223" t="s">
        <v>159</v>
      </c>
      <c r="C3223" s="1" t="str">
        <f>HYPERLINK("http://продеталь.рф/search.html?article=MZ553930","MZ553930")</f>
        <v>MZ553930</v>
      </c>
      <c r="D3223" t="s">
        <v>9</v>
      </c>
    </row>
    <row r="3224" spans="1:4" outlineLevel="1" x14ac:dyDescent="0.25">
      <c r="A3224" t="s">
        <v>440</v>
      </c>
      <c r="B3224" t="s">
        <v>23</v>
      </c>
      <c r="C3224" s="1" t="str">
        <f>HYPERLINK("http://продеталь.рф/search.html?article=115570008B","115570008B")</f>
        <v>115570008B</v>
      </c>
      <c r="D3224" t="s">
        <v>4</v>
      </c>
    </row>
    <row r="3225" spans="1:4" outlineLevel="1" x14ac:dyDescent="0.25">
      <c r="A3225" t="s">
        <v>440</v>
      </c>
      <c r="B3225" t="s">
        <v>23</v>
      </c>
      <c r="C3225" s="1" t="str">
        <f>HYPERLINK("http://продеталь.рф/search.html?article=115569008B","115569008B")</f>
        <v>115569008B</v>
      </c>
      <c r="D3225" t="s">
        <v>4</v>
      </c>
    </row>
    <row r="3226" spans="1:4" outlineLevel="1" x14ac:dyDescent="0.25">
      <c r="A3226" t="s">
        <v>440</v>
      </c>
      <c r="B3226" t="s">
        <v>26</v>
      </c>
      <c r="C3226" s="1" t="str">
        <f>HYPERLINK("http://продеталь.рф/search.html?article=MZ550000M0L00","MZ550000M0L00")</f>
        <v>MZ550000M0L00</v>
      </c>
      <c r="D3226" t="s">
        <v>9</v>
      </c>
    </row>
    <row r="3227" spans="1:4" outlineLevel="1" x14ac:dyDescent="0.25">
      <c r="A3227" t="s">
        <v>440</v>
      </c>
      <c r="B3227" t="s">
        <v>3</v>
      </c>
      <c r="C3227" s="1" t="str">
        <f>HYPERLINK("http://продеталь.рф/search.html?article=206098A06B","206098A06B")</f>
        <v>206098A06B</v>
      </c>
      <c r="D3227" t="s">
        <v>4</v>
      </c>
    </row>
    <row r="3228" spans="1:4" outlineLevel="1" x14ac:dyDescent="0.25">
      <c r="A3228" t="s">
        <v>440</v>
      </c>
      <c r="B3228" t="s">
        <v>3</v>
      </c>
      <c r="C3228" s="1" t="str">
        <f>HYPERLINK("http://продеталь.рф/search.html?article=206097A06B","206097A06B")</f>
        <v>206097A06B</v>
      </c>
      <c r="D3228" t="s">
        <v>4</v>
      </c>
    </row>
    <row r="3229" spans="1:4" outlineLevel="1" x14ac:dyDescent="0.25">
      <c r="A3229" t="s">
        <v>440</v>
      </c>
      <c r="B3229" t="s">
        <v>3</v>
      </c>
      <c r="C3229" s="1" t="str">
        <f>HYPERLINK("http://продеталь.рф/search.html?article=206162052","206162052")</f>
        <v>206162052</v>
      </c>
      <c r="D3229" t="s">
        <v>4</v>
      </c>
    </row>
    <row r="3230" spans="1:4" outlineLevel="1" x14ac:dyDescent="0.25">
      <c r="A3230" t="s">
        <v>440</v>
      </c>
      <c r="B3230" t="s">
        <v>3</v>
      </c>
      <c r="C3230" s="1" t="str">
        <f>HYPERLINK("http://продеталь.рф/search.html?article=206161052","206161052")</f>
        <v>206161052</v>
      </c>
      <c r="D3230" t="s">
        <v>4</v>
      </c>
    </row>
    <row r="3231" spans="1:4" outlineLevel="1" x14ac:dyDescent="0.25">
      <c r="A3231" t="s">
        <v>440</v>
      </c>
      <c r="B3231" t="s">
        <v>16</v>
      </c>
      <c r="C3231" s="1" t="str">
        <f>HYPERLINK("http://продеталь.рф/search.html?article=185729008B","185729008B")</f>
        <v>185729008B</v>
      </c>
      <c r="D3231" t="s">
        <v>4</v>
      </c>
    </row>
    <row r="3232" spans="1:4" outlineLevel="1" x14ac:dyDescent="0.25">
      <c r="A3232" t="s">
        <v>440</v>
      </c>
      <c r="B3232" t="s">
        <v>278</v>
      </c>
      <c r="C3232" s="1" t="str">
        <f>HYPERLINK("http://продеталь.рф/search.html?article=MZ55000R0","MZ55000R0")</f>
        <v>MZ55000R0</v>
      </c>
      <c r="D3232" t="s">
        <v>9</v>
      </c>
    </row>
    <row r="3233" spans="1:4" x14ac:dyDescent="0.25">
      <c r="A3233" t="s">
        <v>441</v>
      </c>
      <c r="B3233" s="2" t="s">
        <v>441</v>
      </c>
      <c r="C3233" s="2"/>
      <c r="D3233" s="2"/>
    </row>
    <row r="3234" spans="1:4" outlineLevel="1" x14ac:dyDescent="0.25">
      <c r="A3234" t="s">
        <v>441</v>
      </c>
      <c r="B3234" t="s">
        <v>1</v>
      </c>
      <c r="C3234" s="1" t="str">
        <f>HYPERLINK("http://продеталь.рф/search.html?article=301MZ0049","301MZ0049")</f>
        <v>301MZ0049</v>
      </c>
      <c r="D3234" t="s">
        <v>4</v>
      </c>
    </row>
    <row r="3235" spans="1:4" outlineLevel="1" x14ac:dyDescent="0.25">
      <c r="A3235" t="s">
        <v>441</v>
      </c>
      <c r="B3235" t="s">
        <v>5</v>
      </c>
      <c r="C3235" s="1" t="str">
        <f>HYPERLINK("http://продеталь.рф/search.html?article=MZ45016L2","MZ45016L2")</f>
        <v>MZ45016L2</v>
      </c>
      <c r="D3235" t="s">
        <v>9</v>
      </c>
    </row>
    <row r="3236" spans="1:4" outlineLevel="1" x14ac:dyDescent="0.25">
      <c r="A3236" t="s">
        <v>441</v>
      </c>
      <c r="B3236" t="s">
        <v>5</v>
      </c>
      <c r="C3236" s="1" t="str">
        <f>HYPERLINK("http://продеталь.рф/search.html?article=MZ45016LA1","MZ45016LA1")</f>
        <v>MZ45016LA1</v>
      </c>
      <c r="D3236" t="s">
        <v>9</v>
      </c>
    </row>
    <row r="3237" spans="1:4" outlineLevel="1" x14ac:dyDescent="0.25">
      <c r="A3237" t="s">
        <v>441</v>
      </c>
      <c r="B3237" t="s">
        <v>28</v>
      </c>
      <c r="C3237" s="1" t="str">
        <f>HYPERLINK("http://продеталь.рф/search.html?article=RA62458","RA62458")</f>
        <v>RA62458</v>
      </c>
      <c r="D3237" t="s">
        <v>6</v>
      </c>
    </row>
    <row r="3238" spans="1:4" outlineLevel="1" x14ac:dyDescent="0.25">
      <c r="A3238" t="s">
        <v>441</v>
      </c>
      <c r="B3238" t="s">
        <v>8</v>
      </c>
      <c r="C3238" s="1" t="str">
        <f>HYPERLINK("http://продеталь.рф/search.html?article=MZ453940","MZ453940")</f>
        <v>MZ453940</v>
      </c>
      <c r="D3238" t="s">
        <v>9</v>
      </c>
    </row>
    <row r="3239" spans="1:4" outlineLevel="1" x14ac:dyDescent="0.25">
      <c r="A3239" t="s">
        <v>441</v>
      </c>
      <c r="B3239" t="s">
        <v>13</v>
      </c>
      <c r="C3239" s="1" t="str">
        <f>HYPERLINK("http://продеталь.рф/search.html?article=MZ45000R0","MZ45000R0")</f>
        <v>MZ45000R0</v>
      </c>
      <c r="D3239" t="s">
        <v>9</v>
      </c>
    </row>
    <row r="3240" spans="1:4" x14ac:dyDescent="0.25">
      <c r="A3240" t="s">
        <v>442</v>
      </c>
      <c r="B3240" s="2" t="s">
        <v>442</v>
      </c>
      <c r="C3240" s="2"/>
      <c r="D3240" s="2"/>
    </row>
    <row r="3241" spans="1:4" outlineLevel="1" x14ac:dyDescent="0.25">
      <c r="A3241" t="s">
        <v>442</v>
      </c>
      <c r="B3241" t="s">
        <v>11</v>
      </c>
      <c r="C3241" s="1" t="str">
        <f>HYPERLINK("http://продеталь.рф/search.html?article=MZ04076BD","MZ04076BD")</f>
        <v>MZ04076BD</v>
      </c>
      <c r="D3241" t="s">
        <v>2</v>
      </c>
    </row>
    <row r="3242" spans="1:4" outlineLevel="1" x14ac:dyDescent="0.25">
      <c r="A3242" t="s">
        <v>442</v>
      </c>
      <c r="B3242" t="s">
        <v>15</v>
      </c>
      <c r="C3242" s="1" t="str">
        <f>HYPERLINK("http://продеталь.рф/search.html?article=388MZD140M","388MZD140M")</f>
        <v>388MZD140M</v>
      </c>
      <c r="D3242" t="s">
        <v>4</v>
      </c>
    </row>
    <row r="3243" spans="1:4" outlineLevel="1" x14ac:dyDescent="0.25">
      <c r="A3243" t="s">
        <v>442</v>
      </c>
      <c r="B3243" t="s">
        <v>15</v>
      </c>
      <c r="C3243" s="1" t="str">
        <f>HYPERLINK("http://продеталь.рф/search.html?article=3200023","3200023")</f>
        <v>3200023</v>
      </c>
      <c r="D3243" t="s">
        <v>4</v>
      </c>
    </row>
    <row r="3244" spans="1:4" outlineLevel="1" x14ac:dyDescent="0.25">
      <c r="A3244" t="s">
        <v>442</v>
      </c>
      <c r="B3244" t="s">
        <v>79</v>
      </c>
      <c r="C3244" s="1" t="str">
        <f>HYPERLINK("http://продеталь.рф/search.html?article=620660","620660")</f>
        <v>620660</v>
      </c>
      <c r="D3244" t="s">
        <v>4</v>
      </c>
    </row>
    <row r="3245" spans="1:4" outlineLevel="1" x14ac:dyDescent="0.25">
      <c r="A3245" t="s">
        <v>442</v>
      </c>
      <c r="B3245" t="s">
        <v>79</v>
      </c>
      <c r="C3245" s="1" t="str">
        <f>HYPERLINK("http://продеталь.рф/search.html?article=FD51100400000","FD51100400000")</f>
        <v>FD51100400000</v>
      </c>
      <c r="D3245" t="s">
        <v>9</v>
      </c>
    </row>
    <row r="3246" spans="1:4" outlineLevel="1" x14ac:dyDescent="0.25">
      <c r="A3246" t="s">
        <v>442</v>
      </c>
      <c r="B3246" t="s">
        <v>134</v>
      </c>
      <c r="C3246" s="1" t="str">
        <f>HYPERLINK("http://продеталь.рф/search.html?article=MZ580015M0000","MZ580015M0000")</f>
        <v>MZ580015M0000</v>
      </c>
      <c r="D3246" t="s">
        <v>9</v>
      </c>
    </row>
    <row r="3247" spans="1:4" outlineLevel="1" x14ac:dyDescent="0.25">
      <c r="A3247" t="s">
        <v>442</v>
      </c>
      <c r="B3247" t="s">
        <v>3</v>
      </c>
      <c r="C3247" s="1" t="str">
        <f>HYPERLINK("http://продеталь.рф/search.html?article=206432051","206432051")</f>
        <v>206432051</v>
      </c>
      <c r="D3247" t="s">
        <v>4</v>
      </c>
    </row>
    <row r="3248" spans="1:4" outlineLevel="1" x14ac:dyDescent="0.25">
      <c r="A3248" t="s">
        <v>442</v>
      </c>
      <c r="B3248" t="s">
        <v>3</v>
      </c>
      <c r="C3248" s="1" t="str">
        <f>HYPERLINK("http://продеталь.рф/search.html?article=206431051","206431051")</f>
        <v>206431051</v>
      </c>
      <c r="D3248" t="s">
        <v>4</v>
      </c>
    </row>
    <row r="3249" spans="1:4" outlineLevel="1" x14ac:dyDescent="0.25">
      <c r="A3249" t="s">
        <v>442</v>
      </c>
      <c r="B3249" t="s">
        <v>19</v>
      </c>
      <c r="C3249" s="1" t="str">
        <f>HYPERLINK("http://продеталь.рф/search.html?article=195429B01A","195429B01A")</f>
        <v>195429B01A</v>
      </c>
      <c r="D3249" t="s">
        <v>4</v>
      </c>
    </row>
    <row r="3250" spans="1:4" outlineLevel="1" x14ac:dyDescent="0.25">
      <c r="A3250" t="s">
        <v>442</v>
      </c>
      <c r="B3250" t="s">
        <v>28</v>
      </c>
      <c r="C3250" s="1" t="str">
        <f>HYPERLINK("http://продеталь.рф/search.html?article=MZF1005F0","MZF1005F0")</f>
        <v>MZF1005F0</v>
      </c>
      <c r="D3250" t="s">
        <v>9</v>
      </c>
    </row>
    <row r="3251" spans="1:4" outlineLevel="1" x14ac:dyDescent="0.25">
      <c r="A3251" t="s">
        <v>442</v>
      </c>
      <c r="B3251" t="s">
        <v>8</v>
      </c>
      <c r="C3251" s="1" t="str">
        <f>HYPERLINK("http://продеталь.рф/search.html?article=FD39043A","FD39043A")</f>
        <v>FD39043A</v>
      </c>
      <c r="D3251" t="s">
        <v>2</v>
      </c>
    </row>
    <row r="3252" spans="1:4" outlineLevel="1" x14ac:dyDescent="0.25">
      <c r="A3252" t="s">
        <v>442</v>
      </c>
      <c r="B3252" t="s">
        <v>13</v>
      </c>
      <c r="C3252" s="1" t="str">
        <f>HYPERLINK("http://продеталь.рф/search.html?article=MZF1000R0","MZF1000R0")</f>
        <v>MZF1000R0</v>
      </c>
      <c r="D3252" t="s">
        <v>9</v>
      </c>
    </row>
    <row r="3253" spans="1:4" x14ac:dyDescent="0.25">
      <c r="A3253" t="s">
        <v>443</v>
      </c>
      <c r="B3253" s="2" t="s">
        <v>443</v>
      </c>
      <c r="C3253" s="2"/>
      <c r="D3253" s="2"/>
    </row>
    <row r="3254" spans="1:4" outlineLevel="1" x14ac:dyDescent="0.25">
      <c r="A3254" t="s">
        <v>443</v>
      </c>
      <c r="B3254" t="s">
        <v>280</v>
      </c>
      <c r="C3254" s="1" t="str">
        <f>HYPERLINK("http://продеталь.рф/search.html?article=3545331","3545331")</f>
        <v>3545331</v>
      </c>
      <c r="D3254" t="s">
        <v>46</v>
      </c>
    </row>
    <row r="3255" spans="1:4" outlineLevel="1" x14ac:dyDescent="0.25">
      <c r="A3255" t="s">
        <v>443</v>
      </c>
      <c r="B3255" t="s">
        <v>280</v>
      </c>
      <c r="C3255" s="1" t="str">
        <f>HYPERLINK("http://продеталь.рф/search.html?article=3545332","3545332")</f>
        <v>3545332</v>
      </c>
      <c r="D3255" t="s">
        <v>46</v>
      </c>
    </row>
    <row r="3256" spans="1:4" outlineLevel="1" x14ac:dyDescent="0.25">
      <c r="A3256" t="s">
        <v>443</v>
      </c>
      <c r="B3256" t="s">
        <v>280</v>
      </c>
      <c r="C3256" s="1" t="str">
        <f>HYPERLINK("http://продеталь.рф/search.html?article=3545322","3545322")</f>
        <v>3545322</v>
      </c>
      <c r="D3256" t="s">
        <v>46</v>
      </c>
    </row>
    <row r="3257" spans="1:4" outlineLevel="1" x14ac:dyDescent="0.25">
      <c r="A3257" t="s">
        <v>443</v>
      </c>
      <c r="B3257" t="s">
        <v>11</v>
      </c>
      <c r="C3257" s="1" t="str">
        <f>HYPERLINK("http://продеталь.рф/search.html?article=29590","29590")</f>
        <v>29590</v>
      </c>
      <c r="D3257" t="s">
        <v>163</v>
      </c>
    </row>
    <row r="3258" spans="1:4" outlineLevel="1" x14ac:dyDescent="0.25">
      <c r="A3258" t="s">
        <v>443</v>
      </c>
      <c r="B3258" t="s">
        <v>11</v>
      </c>
      <c r="C3258" s="1" t="str">
        <f>HYPERLINK("http://продеталь.рф/search.html?article=29591","29591")</f>
        <v>29591</v>
      </c>
      <c r="D3258" t="s">
        <v>163</v>
      </c>
    </row>
    <row r="3259" spans="1:4" outlineLevel="1" x14ac:dyDescent="0.25">
      <c r="A3259" t="s">
        <v>443</v>
      </c>
      <c r="B3259" t="s">
        <v>178</v>
      </c>
      <c r="C3259" s="1" t="str">
        <f>HYPERLINK("http://продеталь.рф/search.html?article=3545001","3545001")</f>
        <v>3545001</v>
      </c>
      <c r="D3259" t="s">
        <v>46</v>
      </c>
    </row>
    <row r="3260" spans="1:4" outlineLevel="1" x14ac:dyDescent="0.25">
      <c r="A3260" t="s">
        <v>443</v>
      </c>
      <c r="B3260" t="s">
        <v>45</v>
      </c>
      <c r="C3260" s="1" t="str">
        <f>HYPERLINK("http://продеталь.рф/search.html?article=3545592","3545592")</f>
        <v>3545592</v>
      </c>
      <c r="D3260" t="s">
        <v>46</v>
      </c>
    </row>
    <row r="3261" spans="1:4" outlineLevel="1" x14ac:dyDescent="0.25">
      <c r="A3261" t="s">
        <v>443</v>
      </c>
      <c r="B3261" t="s">
        <v>45</v>
      </c>
      <c r="C3261" s="1" t="str">
        <f>HYPERLINK("http://продеталь.рф/search.html?article=3545591","3545591")</f>
        <v>3545591</v>
      </c>
      <c r="D3261" t="s">
        <v>46</v>
      </c>
    </row>
    <row r="3262" spans="1:4" outlineLevel="1" x14ac:dyDescent="0.25">
      <c r="A3262" t="s">
        <v>443</v>
      </c>
      <c r="B3262" t="s">
        <v>444</v>
      </c>
      <c r="C3262" s="1" t="str">
        <f>HYPERLINK("http://продеталь.рф/search.html?article=3545680","3545680")</f>
        <v>3545680</v>
      </c>
      <c r="D3262" t="s">
        <v>46</v>
      </c>
    </row>
    <row r="3263" spans="1:4" outlineLevel="1" x14ac:dyDescent="0.25">
      <c r="A3263" t="s">
        <v>443</v>
      </c>
      <c r="B3263" t="s">
        <v>1</v>
      </c>
      <c r="C3263" s="1" t="str">
        <f>HYPERLINK("http://продеталь.рф/search.html?article=PBZ20065A","PBZ20065A")</f>
        <v>PBZ20065A</v>
      </c>
      <c r="D3263" t="s">
        <v>6</v>
      </c>
    </row>
    <row r="3264" spans="1:4" outlineLevel="1" x14ac:dyDescent="0.25">
      <c r="A3264" t="s">
        <v>443</v>
      </c>
      <c r="B3264" t="s">
        <v>24</v>
      </c>
      <c r="C3264" s="1" t="str">
        <f>HYPERLINK("http://продеталь.рф/search.html?article=46071005","46071005")</f>
        <v>46071005</v>
      </c>
      <c r="D3264" t="s">
        <v>49</v>
      </c>
    </row>
    <row r="3265" spans="1:4" outlineLevel="1" x14ac:dyDescent="0.25">
      <c r="A3265" t="s">
        <v>443</v>
      </c>
      <c r="B3265" t="s">
        <v>3</v>
      </c>
      <c r="C3265" s="1" t="str">
        <f>HYPERLINK("http://продеталь.рф/search.html?article=203526052","203526052")</f>
        <v>203526052</v>
      </c>
      <c r="D3265" t="s">
        <v>4</v>
      </c>
    </row>
    <row r="3266" spans="1:4" outlineLevel="1" x14ac:dyDescent="0.25">
      <c r="A3266" t="s">
        <v>443</v>
      </c>
      <c r="B3266" t="s">
        <v>3</v>
      </c>
      <c r="C3266" s="1" t="str">
        <f>HYPERLINK("http://продеталь.рф/search.html?article=203525052","203525052")</f>
        <v>203525052</v>
      </c>
      <c r="D3266" t="s">
        <v>4</v>
      </c>
    </row>
    <row r="3267" spans="1:4" outlineLevel="1" x14ac:dyDescent="0.25">
      <c r="A3267" t="s">
        <v>443</v>
      </c>
      <c r="B3267" t="s">
        <v>12</v>
      </c>
      <c r="C3267" s="1" t="str">
        <f>HYPERLINK("http://продеталь.рф/search.html?article=19597","19597")</f>
        <v>19597</v>
      </c>
      <c r="D3267" t="s">
        <v>163</v>
      </c>
    </row>
    <row r="3268" spans="1:4" outlineLevel="1" x14ac:dyDescent="0.25">
      <c r="A3268" t="s">
        <v>443</v>
      </c>
      <c r="B3268" t="s">
        <v>445</v>
      </c>
      <c r="C3268" s="1" t="str">
        <f>HYPERLINK("http://продеталь.рф/search.html?article=5061871E","5061871E")</f>
        <v>5061871E</v>
      </c>
      <c r="D3268" t="s">
        <v>81</v>
      </c>
    </row>
    <row r="3269" spans="1:4" outlineLevel="1" x14ac:dyDescent="0.25">
      <c r="A3269" t="s">
        <v>443</v>
      </c>
      <c r="B3269" t="s">
        <v>41</v>
      </c>
      <c r="C3269" s="1" t="str">
        <f>HYPERLINK("http://продеталь.рф/search.html?article=SBZ1136R","SBZ1136R")</f>
        <v>SBZ1136R</v>
      </c>
      <c r="D3269" t="s">
        <v>4</v>
      </c>
    </row>
    <row r="3270" spans="1:4" outlineLevel="1" x14ac:dyDescent="0.25">
      <c r="A3270" t="s">
        <v>443</v>
      </c>
      <c r="B3270" t="s">
        <v>41</v>
      </c>
      <c r="C3270" s="1" t="str">
        <f>HYPERLINK("http://продеталь.рф/search.html?article=SBZ1112L","SBZ1112L")</f>
        <v>SBZ1112L</v>
      </c>
      <c r="D3270" t="s">
        <v>4</v>
      </c>
    </row>
    <row r="3271" spans="1:4" outlineLevel="1" x14ac:dyDescent="0.25">
      <c r="A3271" t="s">
        <v>443</v>
      </c>
      <c r="B3271" t="s">
        <v>41</v>
      </c>
      <c r="C3271" s="1" t="str">
        <f>HYPERLINK("http://продеталь.рф/search.html?article=SBZ1112R","SBZ1112R")</f>
        <v>SBZ1112R</v>
      </c>
      <c r="D3271" t="s">
        <v>4</v>
      </c>
    </row>
    <row r="3272" spans="1:4" outlineLevel="1" x14ac:dyDescent="0.25">
      <c r="A3272" t="s">
        <v>443</v>
      </c>
      <c r="B3272" t="s">
        <v>446</v>
      </c>
      <c r="C3272" s="1" t="str">
        <f>HYPERLINK("http://продеталь.рф/search.html?article=3545051","3545051")</f>
        <v>3545051</v>
      </c>
      <c r="D3272" t="s">
        <v>46</v>
      </c>
    </row>
    <row r="3273" spans="1:4" outlineLevel="1" x14ac:dyDescent="0.25">
      <c r="A3273" t="s">
        <v>443</v>
      </c>
      <c r="B3273" t="s">
        <v>181</v>
      </c>
      <c r="C3273" s="1" t="str">
        <f>HYPERLINK("http://продеталь.рф/search.html?article=ME9051154","ME9051154")</f>
        <v>ME9051154</v>
      </c>
      <c r="D3273" t="s">
        <v>447</v>
      </c>
    </row>
    <row r="3274" spans="1:4" outlineLevel="1" x14ac:dyDescent="0.25">
      <c r="A3274" t="s">
        <v>443</v>
      </c>
      <c r="B3274" t="s">
        <v>181</v>
      </c>
      <c r="C3274" s="1" t="str">
        <f>HYPERLINK("http://продеталь.рф/search.html?article=2206209","2206209")</f>
        <v>2206209</v>
      </c>
      <c r="D3274" t="s">
        <v>61</v>
      </c>
    </row>
    <row r="3275" spans="1:4" outlineLevel="1" x14ac:dyDescent="0.25">
      <c r="A3275" t="s">
        <v>443</v>
      </c>
      <c r="B3275" t="s">
        <v>16</v>
      </c>
      <c r="C3275" s="1" t="str">
        <f>HYPERLINK("http://продеталь.рф/search.html?article=183570052","183570052")</f>
        <v>183570052</v>
      </c>
      <c r="D3275" t="s">
        <v>4</v>
      </c>
    </row>
    <row r="3276" spans="1:4" outlineLevel="1" x14ac:dyDescent="0.25">
      <c r="A3276" t="s">
        <v>443</v>
      </c>
      <c r="B3276" t="s">
        <v>16</v>
      </c>
      <c r="C3276" s="1" t="str">
        <f>HYPERLINK("http://продеталь.рф/search.html?article=183569052","183569052")</f>
        <v>183569052</v>
      </c>
      <c r="D3276" t="s">
        <v>4</v>
      </c>
    </row>
    <row r="3277" spans="1:4" x14ac:dyDescent="0.25">
      <c r="A3277" t="s">
        <v>448</v>
      </c>
      <c r="B3277" s="2" t="s">
        <v>448</v>
      </c>
      <c r="C3277" s="2"/>
      <c r="D3277" s="2"/>
    </row>
    <row r="3278" spans="1:4" outlineLevel="1" x14ac:dyDescent="0.25">
      <c r="A3278" t="s">
        <v>448</v>
      </c>
      <c r="B3278" t="s">
        <v>15</v>
      </c>
      <c r="C3278" s="1" t="str">
        <f>HYPERLINK("http://продеталь.рф/search.html?article=3210001","3210001")</f>
        <v>3210001</v>
      </c>
      <c r="D3278" t="s">
        <v>4</v>
      </c>
    </row>
    <row r="3279" spans="1:4" outlineLevel="1" x14ac:dyDescent="0.25">
      <c r="A3279" t="s">
        <v>448</v>
      </c>
      <c r="B3279" t="s">
        <v>1</v>
      </c>
      <c r="C3279" s="1" t="str">
        <f>HYPERLINK("http://продеталь.рф/search.html?article=MD010150","MD010150")</f>
        <v>MD010150</v>
      </c>
      <c r="D3279" t="s">
        <v>9</v>
      </c>
    </row>
    <row r="3280" spans="1:4" outlineLevel="1" x14ac:dyDescent="0.25">
      <c r="A3280" t="s">
        <v>448</v>
      </c>
      <c r="B3280" t="s">
        <v>24</v>
      </c>
      <c r="C3280" s="1" t="str">
        <f>HYPERLINK("http://продеталь.рф/search.html?article=109521","109521")</f>
        <v>109521</v>
      </c>
      <c r="D3280" t="s">
        <v>163</v>
      </c>
    </row>
    <row r="3281" spans="1:4" outlineLevel="1" x14ac:dyDescent="0.25">
      <c r="A3281" t="s">
        <v>448</v>
      </c>
      <c r="B3281" t="s">
        <v>66</v>
      </c>
      <c r="C3281" s="1" t="str">
        <f>HYPERLINK("http://продеталь.рф/search.html?article=BK037","BK037")</f>
        <v>BK037</v>
      </c>
      <c r="D3281" t="s">
        <v>6</v>
      </c>
    </row>
    <row r="3282" spans="1:4" outlineLevel="1" x14ac:dyDescent="0.25">
      <c r="A3282" t="s">
        <v>448</v>
      </c>
      <c r="B3282" t="s">
        <v>26</v>
      </c>
      <c r="C3282" s="1" t="str">
        <f>HYPERLINK("http://продеталь.рф/search.html?article=BZ04034MALN","BZ04034MALN")</f>
        <v>BZ04034MALN</v>
      </c>
      <c r="D3282" t="s">
        <v>2</v>
      </c>
    </row>
    <row r="3283" spans="1:4" outlineLevel="1" x14ac:dyDescent="0.25">
      <c r="A3283" t="s">
        <v>448</v>
      </c>
      <c r="B3283" t="s">
        <v>3</v>
      </c>
      <c r="C3283" s="1" t="str">
        <f>HYPERLINK("http://продеталь.рф/search.html?article=20A015052B","20A015052B")</f>
        <v>20A015052B</v>
      </c>
      <c r="D3283" t="s">
        <v>4</v>
      </c>
    </row>
    <row r="3284" spans="1:4" outlineLevel="1" x14ac:dyDescent="0.25">
      <c r="A3284" t="s">
        <v>448</v>
      </c>
      <c r="B3284" t="s">
        <v>5</v>
      </c>
      <c r="C3284" s="1" t="str">
        <f>HYPERLINK("http://продеталь.рф/search.html?article=BZ11001AL","BZ11001AL")</f>
        <v>BZ11001AL</v>
      </c>
      <c r="D3284" t="s">
        <v>2</v>
      </c>
    </row>
    <row r="3285" spans="1:4" outlineLevel="1" x14ac:dyDescent="0.25">
      <c r="A3285" t="s">
        <v>448</v>
      </c>
      <c r="B3285" t="s">
        <v>5</v>
      </c>
      <c r="C3285" s="1" t="str">
        <f>HYPERLINK("http://продеталь.рф/search.html?article=BZ11001AR","BZ11001AR")</f>
        <v>BZ11001AR</v>
      </c>
      <c r="D3285" t="s">
        <v>2</v>
      </c>
    </row>
    <row r="3286" spans="1:4" outlineLevel="1" x14ac:dyDescent="0.25">
      <c r="A3286" t="s">
        <v>448</v>
      </c>
      <c r="B3286" t="s">
        <v>5</v>
      </c>
      <c r="C3286" s="1" t="str">
        <f>HYPERLINK("http://продеталь.рф/search.html?article=BZ11001BL","BZ11001BL")</f>
        <v>BZ11001BL</v>
      </c>
      <c r="D3286" t="s">
        <v>2</v>
      </c>
    </row>
    <row r="3287" spans="1:4" x14ac:dyDescent="0.25">
      <c r="A3287" t="s">
        <v>449</v>
      </c>
      <c r="B3287" s="2" t="s">
        <v>449</v>
      </c>
      <c r="C3287" s="2"/>
      <c r="D3287" s="2"/>
    </row>
    <row r="3288" spans="1:4" outlineLevel="1" x14ac:dyDescent="0.25">
      <c r="A3288" t="s">
        <v>449</v>
      </c>
      <c r="B3288" t="s">
        <v>3</v>
      </c>
      <c r="C3288" s="1" t="str">
        <f>HYPERLINK("http://продеталь.рф/search.html?article=200567052","200567052")</f>
        <v>200567052</v>
      </c>
      <c r="D3288" t="s">
        <v>4</v>
      </c>
    </row>
    <row r="3289" spans="1:4" outlineLevel="1" x14ac:dyDescent="0.25">
      <c r="A3289" t="s">
        <v>449</v>
      </c>
      <c r="B3289" t="s">
        <v>3</v>
      </c>
      <c r="C3289" s="1" t="str">
        <f>HYPERLINK("http://продеталь.рф/search.html?article=20A674052B","20A674052B")</f>
        <v>20A674052B</v>
      </c>
      <c r="D3289" t="s">
        <v>4</v>
      </c>
    </row>
    <row r="3290" spans="1:4" x14ac:dyDescent="0.25">
      <c r="A3290" t="s">
        <v>450</v>
      </c>
      <c r="B3290" s="2" t="s">
        <v>450</v>
      </c>
      <c r="C3290" s="2"/>
      <c r="D3290" s="2"/>
    </row>
    <row r="3291" spans="1:4" outlineLevel="1" x14ac:dyDescent="0.25">
      <c r="A3291" t="s">
        <v>450</v>
      </c>
      <c r="B3291" t="s">
        <v>11</v>
      </c>
      <c r="C3291" s="1" t="str">
        <f>HYPERLINK("http://продеталь.рф/search.html?article=29511","29511")</f>
        <v>29511</v>
      </c>
      <c r="D3291" t="s">
        <v>163</v>
      </c>
    </row>
    <row r="3292" spans="1:4" outlineLevel="1" x14ac:dyDescent="0.25">
      <c r="A3292" t="s">
        <v>450</v>
      </c>
      <c r="B3292" t="s">
        <v>11</v>
      </c>
      <c r="C3292" s="1" t="str">
        <f>HYPERLINK("http://продеталь.рф/search.html?article=BZ04040BA","BZ04040BA")</f>
        <v>BZ04040BA</v>
      </c>
      <c r="D3292" t="s">
        <v>2</v>
      </c>
    </row>
    <row r="3293" spans="1:4" outlineLevel="1" x14ac:dyDescent="0.25">
      <c r="A3293" t="s">
        <v>450</v>
      </c>
      <c r="B3293" t="s">
        <v>11</v>
      </c>
      <c r="C3293" s="1" t="str">
        <f>HYPERLINK("http://продеталь.рф/search.html?article=029512","029512")</f>
        <v>029512</v>
      </c>
      <c r="D3293" t="s">
        <v>163</v>
      </c>
    </row>
    <row r="3294" spans="1:4" outlineLevel="1" x14ac:dyDescent="0.25">
      <c r="A3294" t="s">
        <v>450</v>
      </c>
      <c r="B3294" t="s">
        <v>101</v>
      </c>
      <c r="C3294" s="1" t="str">
        <f>HYPERLINK("http://продеталь.рф/search.html?article=MD06000CA2","MD06000CA2")</f>
        <v>MD06000CA2</v>
      </c>
      <c r="D3294" t="s">
        <v>9</v>
      </c>
    </row>
    <row r="3295" spans="1:4" outlineLevel="1" x14ac:dyDescent="0.25">
      <c r="A3295" t="s">
        <v>450</v>
      </c>
      <c r="B3295" t="s">
        <v>101</v>
      </c>
      <c r="C3295" s="1" t="str">
        <f>HYPERLINK("http://продеталь.рф/search.html?article=MD06000CA1","MD06000CA1")</f>
        <v>MD06000CA1</v>
      </c>
      <c r="D3295" t="s">
        <v>9</v>
      </c>
    </row>
    <row r="3296" spans="1:4" outlineLevel="1" x14ac:dyDescent="0.25">
      <c r="A3296" t="s">
        <v>450</v>
      </c>
      <c r="B3296" t="s">
        <v>23</v>
      </c>
      <c r="C3296" s="1" t="str">
        <f>HYPERLINK("http://продеталь.рф/search.html?article=115192156","115192156")</f>
        <v>115192156</v>
      </c>
      <c r="D3296" t="s">
        <v>4</v>
      </c>
    </row>
    <row r="3297" spans="1:4" outlineLevel="1" x14ac:dyDescent="0.25">
      <c r="A3297" t="s">
        <v>450</v>
      </c>
      <c r="B3297" t="s">
        <v>23</v>
      </c>
      <c r="C3297" s="1" t="str">
        <f>HYPERLINK("http://продеталь.рф/search.html?article=115191156","115191156")</f>
        <v>115191156</v>
      </c>
      <c r="D3297" t="s">
        <v>4</v>
      </c>
    </row>
    <row r="3298" spans="1:4" outlineLevel="1" x14ac:dyDescent="0.25">
      <c r="A3298" t="s">
        <v>450</v>
      </c>
      <c r="B3298" t="s">
        <v>23</v>
      </c>
      <c r="C3298" s="1" t="str">
        <f>HYPERLINK("http://продеталь.рф/search.html?article=115192056","115192056")</f>
        <v>115192056</v>
      </c>
      <c r="D3298" t="s">
        <v>4</v>
      </c>
    </row>
    <row r="3299" spans="1:4" outlineLevel="1" x14ac:dyDescent="0.25">
      <c r="A3299" t="s">
        <v>450</v>
      </c>
      <c r="B3299" t="s">
        <v>23</v>
      </c>
      <c r="C3299" s="1" t="str">
        <f>HYPERLINK("http://продеталь.рф/search.html?article=115191056","115191056")</f>
        <v>115191056</v>
      </c>
      <c r="D3299" t="s">
        <v>4</v>
      </c>
    </row>
    <row r="3300" spans="1:4" outlineLevel="1" x14ac:dyDescent="0.25">
      <c r="A3300" t="s">
        <v>450</v>
      </c>
      <c r="B3300" t="s">
        <v>45</v>
      </c>
      <c r="C3300" s="1" t="str">
        <f>HYPERLINK("http://продеталь.рф/search.html?article=3512581","3512581")</f>
        <v>3512581</v>
      </c>
      <c r="D3300" t="s">
        <v>46</v>
      </c>
    </row>
    <row r="3301" spans="1:4" outlineLevel="1" x14ac:dyDescent="0.25">
      <c r="A3301" t="s">
        <v>450</v>
      </c>
      <c r="B3301" t="s">
        <v>35</v>
      </c>
      <c r="C3301" s="1" t="str">
        <f>HYPERLINK("http://продеталь.рф/search.html?article=310513","310513")</f>
        <v>310513</v>
      </c>
      <c r="D3301" t="s">
        <v>21</v>
      </c>
    </row>
    <row r="3302" spans="1:4" outlineLevel="1" x14ac:dyDescent="0.25">
      <c r="A3302" t="s">
        <v>450</v>
      </c>
      <c r="B3302" t="s">
        <v>102</v>
      </c>
      <c r="C3302" s="1" t="str">
        <f>HYPERLINK("http://продеталь.рф/search.html?article=BZ10009BL","BZ10009BL")</f>
        <v>BZ10009BL</v>
      </c>
      <c r="D3302" t="s">
        <v>2</v>
      </c>
    </row>
    <row r="3303" spans="1:4" outlineLevel="1" x14ac:dyDescent="0.25">
      <c r="A3303" t="s">
        <v>450</v>
      </c>
      <c r="B3303" t="s">
        <v>102</v>
      </c>
      <c r="C3303" s="1" t="str">
        <f>HYPERLINK("http://продеталь.рф/search.html?article=BZ10009BR","BZ10009BR")</f>
        <v>BZ10009BR</v>
      </c>
      <c r="D3303" t="s">
        <v>2</v>
      </c>
    </row>
    <row r="3304" spans="1:4" outlineLevel="1" x14ac:dyDescent="0.25">
      <c r="A3304" t="s">
        <v>450</v>
      </c>
      <c r="B3304" t="s">
        <v>50</v>
      </c>
      <c r="C3304" s="1" t="str">
        <f>HYPERLINK("http://продеталь.рф/search.html?article=220712","220712")</f>
        <v>220712</v>
      </c>
      <c r="D3304" t="s">
        <v>61</v>
      </c>
    </row>
    <row r="3305" spans="1:4" outlineLevel="1" x14ac:dyDescent="0.25">
      <c r="A3305" t="s">
        <v>450</v>
      </c>
      <c r="B3305" t="s">
        <v>50</v>
      </c>
      <c r="C3305" s="1" t="str">
        <f>HYPERLINK("http://продеталь.рф/search.html?article=MD06206A2","MD06206A2")</f>
        <v>MD06206A2</v>
      </c>
      <c r="D3305" t="s">
        <v>9</v>
      </c>
    </row>
    <row r="3306" spans="1:4" outlineLevel="1" x14ac:dyDescent="0.25">
      <c r="A3306" t="s">
        <v>450</v>
      </c>
      <c r="B3306" t="s">
        <v>50</v>
      </c>
      <c r="C3306" s="1" t="str">
        <f>HYPERLINK("http://продеталь.рф/search.html?article=MD06206A1","MD06206A1")</f>
        <v>MD06206A1</v>
      </c>
      <c r="D3306" t="s">
        <v>9</v>
      </c>
    </row>
    <row r="3307" spans="1:4" outlineLevel="1" x14ac:dyDescent="0.25">
      <c r="A3307" t="s">
        <v>450</v>
      </c>
      <c r="B3307" t="s">
        <v>37</v>
      </c>
      <c r="C3307" s="1" t="str">
        <f>HYPERLINK("http://продеталь.рф/search.html?article=PBZ87014BL","PBZ87014BL")</f>
        <v>PBZ87014BL</v>
      </c>
      <c r="D3307" t="s">
        <v>6</v>
      </c>
    </row>
    <row r="3308" spans="1:4" outlineLevel="1" x14ac:dyDescent="0.25">
      <c r="A3308" t="s">
        <v>450</v>
      </c>
      <c r="B3308" t="s">
        <v>37</v>
      </c>
      <c r="C3308" s="1" t="str">
        <f>HYPERLINK("http://продеталь.рф/search.html?article=PBZ87014BR","PBZ87014BR")</f>
        <v>PBZ87014BR</v>
      </c>
      <c r="D3308" t="s">
        <v>6</v>
      </c>
    </row>
    <row r="3309" spans="1:4" outlineLevel="1" x14ac:dyDescent="0.25">
      <c r="A3309" t="s">
        <v>450</v>
      </c>
      <c r="B3309" t="s">
        <v>37</v>
      </c>
      <c r="C3309" s="1" t="str">
        <f>HYPERLINK("http://продеталь.рф/search.html?article=PBZ87014CL","PBZ87014CL")</f>
        <v>PBZ87014CL</v>
      </c>
      <c r="D3309" t="s">
        <v>6</v>
      </c>
    </row>
    <row r="3310" spans="1:4" outlineLevel="1" x14ac:dyDescent="0.25">
      <c r="A3310" t="s">
        <v>450</v>
      </c>
      <c r="B3310" t="s">
        <v>38</v>
      </c>
      <c r="C3310" s="1" t="str">
        <f>HYPERLINK("http://продеталь.рф/search.html?article=PBZ87014AL","PBZ87014AL")</f>
        <v>PBZ87014AL</v>
      </c>
      <c r="D3310" t="s">
        <v>6</v>
      </c>
    </row>
    <row r="3311" spans="1:4" outlineLevel="1" x14ac:dyDescent="0.25">
      <c r="A3311" t="s">
        <v>450</v>
      </c>
      <c r="B3311" t="s">
        <v>38</v>
      </c>
      <c r="C3311" s="1" t="str">
        <f>HYPERLINK("http://продеталь.рф/search.html?article=PBZ87014AR","PBZ87014AR")</f>
        <v>PBZ87014AR</v>
      </c>
      <c r="D3311" t="s">
        <v>6</v>
      </c>
    </row>
    <row r="3312" spans="1:4" outlineLevel="1" x14ac:dyDescent="0.25">
      <c r="A3312" t="s">
        <v>450</v>
      </c>
      <c r="B3312" t="s">
        <v>38</v>
      </c>
      <c r="C3312" s="1" t="str">
        <f>HYPERLINK("http://продеталь.рф/search.html?article=PBZ87014DL","PBZ87014DL")</f>
        <v>PBZ87014DL</v>
      </c>
      <c r="D3312" t="s">
        <v>6</v>
      </c>
    </row>
    <row r="3313" spans="1:4" outlineLevel="1" x14ac:dyDescent="0.25">
      <c r="A3313" t="s">
        <v>450</v>
      </c>
      <c r="B3313" t="s">
        <v>26</v>
      </c>
      <c r="C3313" s="1" t="str">
        <f>HYPERLINK("http://продеталь.рф/search.html?article=MD06000MA2","MD06000MA2")</f>
        <v>MD06000MA2</v>
      </c>
      <c r="D3313" t="s">
        <v>9</v>
      </c>
    </row>
    <row r="3314" spans="1:4" outlineLevel="1" x14ac:dyDescent="0.25">
      <c r="A3314" t="s">
        <v>450</v>
      </c>
      <c r="B3314" t="s">
        <v>26</v>
      </c>
      <c r="C3314" s="1" t="str">
        <f>HYPERLINK("http://продеталь.рф/search.html?article=MD06000MA1","MD06000MA1")</f>
        <v>MD06000MA1</v>
      </c>
      <c r="D3314" t="s">
        <v>9</v>
      </c>
    </row>
    <row r="3315" spans="1:4" outlineLevel="1" x14ac:dyDescent="0.25">
      <c r="A3315" t="s">
        <v>450</v>
      </c>
      <c r="B3315" t="s">
        <v>26</v>
      </c>
      <c r="C3315" s="1" t="str">
        <f>HYPERLINK("http://продеталь.рф/search.html?article=BZ04040PA","BZ04040PA")</f>
        <v>BZ04040PA</v>
      </c>
      <c r="D3315" t="s">
        <v>2</v>
      </c>
    </row>
    <row r="3316" spans="1:4" outlineLevel="1" x14ac:dyDescent="0.25">
      <c r="A3316" t="s">
        <v>450</v>
      </c>
      <c r="B3316" t="s">
        <v>26</v>
      </c>
      <c r="C3316" s="1" t="str">
        <f>HYPERLINK("http://продеталь.рф/search.html?article=BZ47006AL","BZ47006AL")</f>
        <v>BZ47006AL</v>
      </c>
      <c r="D3316" t="s">
        <v>2</v>
      </c>
    </row>
    <row r="3317" spans="1:4" outlineLevel="1" x14ac:dyDescent="0.25">
      <c r="A3317" t="s">
        <v>450</v>
      </c>
      <c r="B3317" t="s">
        <v>26</v>
      </c>
      <c r="C3317" s="1" t="str">
        <f>HYPERLINK("http://продеталь.рф/search.html?article=BZ47006AR","BZ47006AR")</f>
        <v>BZ47006AR</v>
      </c>
      <c r="D3317" t="s">
        <v>2</v>
      </c>
    </row>
    <row r="3318" spans="1:4" outlineLevel="1" x14ac:dyDescent="0.25">
      <c r="A3318" t="s">
        <v>450</v>
      </c>
      <c r="B3318" t="s">
        <v>51</v>
      </c>
      <c r="C3318" s="1" t="str">
        <f>HYPERLINK("http://продеталь.рф/search.html?article=MD06009L0","MD06009L0")</f>
        <v>MD06009L0</v>
      </c>
      <c r="D3318" t="s">
        <v>9</v>
      </c>
    </row>
    <row r="3319" spans="1:4" outlineLevel="1" x14ac:dyDescent="0.25">
      <c r="A3319" t="s">
        <v>450</v>
      </c>
      <c r="B3319" t="s">
        <v>451</v>
      </c>
      <c r="C3319" s="1" t="str">
        <f>HYPERLINK("http://продеталь.рф/search.html?article=3512270","3512270")</f>
        <v>3512270</v>
      </c>
      <c r="D3319" t="s">
        <v>46</v>
      </c>
    </row>
    <row r="3320" spans="1:4" outlineLevel="1" x14ac:dyDescent="0.25">
      <c r="A3320" t="s">
        <v>450</v>
      </c>
      <c r="B3320" t="s">
        <v>27</v>
      </c>
      <c r="C3320" s="1" t="str">
        <f>HYPERLINK("http://продеталь.рф/search.html?article=MD060090","MD060090")</f>
        <v>MD060090</v>
      </c>
      <c r="D3320" t="s">
        <v>9</v>
      </c>
    </row>
    <row r="3321" spans="1:4" outlineLevel="1" x14ac:dyDescent="0.25">
      <c r="A3321" t="s">
        <v>450</v>
      </c>
      <c r="B3321" t="s">
        <v>3</v>
      </c>
      <c r="C3321" s="1" t="str">
        <f>HYPERLINK("http://продеталь.рф/search.html?article=205260082","205260082")</f>
        <v>205260082</v>
      </c>
      <c r="D3321" t="s">
        <v>4</v>
      </c>
    </row>
    <row r="3322" spans="1:4" outlineLevel="1" x14ac:dyDescent="0.25">
      <c r="A3322" t="s">
        <v>450</v>
      </c>
      <c r="B3322" t="s">
        <v>3</v>
      </c>
      <c r="C3322" s="1" t="str">
        <f>HYPERLINK("http://продеталь.рф/search.html?article=205259082","205259082")</f>
        <v>205259082</v>
      </c>
      <c r="D3322" t="s">
        <v>4</v>
      </c>
    </row>
    <row r="3323" spans="1:4" outlineLevel="1" x14ac:dyDescent="0.25">
      <c r="A3323" t="s">
        <v>450</v>
      </c>
      <c r="B3323" t="s">
        <v>452</v>
      </c>
      <c r="C3323" s="1" t="str">
        <f>HYPERLINK("http://продеталь.рф/search.html?article=ZBZ1502YNDR","ZBZ1502YNDR")</f>
        <v>ZBZ1502YNDR</v>
      </c>
      <c r="D3323" t="s">
        <v>6</v>
      </c>
    </row>
    <row r="3324" spans="1:4" outlineLevel="1" x14ac:dyDescent="0.25">
      <c r="A3324" t="s">
        <v>450</v>
      </c>
      <c r="B3324" t="s">
        <v>5</v>
      </c>
      <c r="C3324" s="1" t="str">
        <f>HYPERLINK("http://продеталь.рф/search.html?article=BZ11025AL","BZ11025AL")</f>
        <v>BZ11025AL</v>
      </c>
      <c r="D3324" t="s">
        <v>2</v>
      </c>
    </row>
    <row r="3325" spans="1:4" outlineLevel="1" x14ac:dyDescent="0.25">
      <c r="A3325" t="s">
        <v>450</v>
      </c>
      <c r="B3325" t="s">
        <v>5</v>
      </c>
      <c r="C3325" s="1" t="str">
        <f>HYPERLINK("http://продеталь.рф/search.html?article=BZ11025AR","BZ11025AR")</f>
        <v>BZ11025AR</v>
      </c>
      <c r="D3325" t="s">
        <v>2</v>
      </c>
    </row>
    <row r="3326" spans="1:4" outlineLevel="1" x14ac:dyDescent="0.25">
      <c r="A3326" t="s">
        <v>450</v>
      </c>
      <c r="B3326" t="s">
        <v>5</v>
      </c>
      <c r="C3326" s="1" t="str">
        <f>HYPERLINK("http://продеталь.рф/search.html?article=211123A","211123A")</f>
        <v>211123A</v>
      </c>
      <c r="D3326" t="s">
        <v>21</v>
      </c>
    </row>
    <row r="3327" spans="1:4" outlineLevel="1" x14ac:dyDescent="0.25">
      <c r="A3327" t="s">
        <v>450</v>
      </c>
      <c r="B3327" t="s">
        <v>54</v>
      </c>
      <c r="C3327" s="1" t="str">
        <f>HYPERLINK("http://продеталь.рф/search.html?article=3512011","3512011")</f>
        <v>3512011</v>
      </c>
      <c r="D3327" t="s">
        <v>46</v>
      </c>
    </row>
    <row r="3328" spans="1:4" outlineLevel="1" x14ac:dyDescent="0.25">
      <c r="A3328" t="s">
        <v>450</v>
      </c>
      <c r="B3328" t="s">
        <v>28</v>
      </c>
      <c r="C3328" s="1" t="str">
        <f>HYPERLINK("http://продеталь.рф/search.html?article=RA62708","RA62708")</f>
        <v>RA62708</v>
      </c>
      <c r="D3328" t="s">
        <v>6</v>
      </c>
    </row>
    <row r="3329" spans="1:4" outlineLevel="1" x14ac:dyDescent="0.25">
      <c r="A3329" t="s">
        <v>450</v>
      </c>
      <c r="B3329" t="s">
        <v>39</v>
      </c>
      <c r="C3329" s="1" t="str">
        <f>HYPERLINK("http://продеталь.рф/search.html?article=AFME105","AFME105")</f>
        <v>AFME105</v>
      </c>
      <c r="D3329" t="s">
        <v>6</v>
      </c>
    </row>
    <row r="3330" spans="1:4" outlineLevel="1" x14ac:dyDescent="0.25">
      <c r="A3330" t="s">
        <v>450</v>
      </c>
      <c r="B3330" t="s">
        <v>39</v>
      </c>
      <c r="C3330" s="1" t="str">
        <f>HYPERLINK("http://продеталь.рф/search.html?article=AFME106","AFME106")</f>
        <v>AFME106</v>
      </c>
      <c r="D3330" t="s">
        <v>6</v>
      </c>
    </row>
    <row r="3331" spans="1:4" outlineLevel="1" x14ac:dyDescent="0.25">
      <c r="A3331" t="s">
        <v>450</v>
      </c>
      <c r="B3331" t="s">
        <v>39</v>
      </c>
      <c r="C3331" s="1" t="str">
        <f>HYPERLINK("http://продеталь.рф/search.html?article=AFME101","AFME101")</f>
        <v>AFME101</v>
      </c>
      <c r="D3331" t="s">
        <v>6</v>
      </c>
    </row>
    <row r="3332" spans="1:4" outlineLevel="1" x14ac:dyDescent="0.25">
      <c r="A3332" t="s">
        <v>450</v>
      </c>
      <c r="B3332" t="s">
        <v>40</v>
      </c>
      <c r="C3332" s="1" t="str">
        <f>HYPERLINK("http://продеталь.рф/search.html?article=MD06000G1","MD06000G1")</f>
        <v>MD06000G1</v>
      </c>
      <c r="D3332" t="s">
        <v>9</v>
      </c>
    </row>
    <row r="3333" spans="1:4" outlineLevel="1" x14ac:dyDescent="0.25">
      <c r="A3333" t="s">
        <v>450</v>
      </c>
      <c r="B3333" t="s">
        <v>40</v>
      </c>
      <c r="C3333" s="1" t="str">
        <f>HYPERLINK("http://продеталь.рф/search.html?article=MD06000GA2","MD06000GA2")</f>
        <v>MD06000GA2</v>
      </c>
      <c r="D3333" t="s">
        <v>9</v>
      </c>
    </row>
    <row r="3334" spans="1:4" outlineLevel="1" x14ac:dyDescent="0.25">
      <c r="A3334" t="s">
        <v>450</v>
      </c>
      <c r="B3334" t="s">
        <v>40</v>
      </c>
      <c r="C3334" s="1" t="str">
        <f>HYPERLINK("http://продеталь.рф/search.html?article=MD06000GA1","MD06000GA1")</f>
        <v>MD06000GA1</v>
      </c>
      <c r="D3334" t="s">
        <v>9</v>
      </c>
    </row>
    <row r="3335" spans="1:4" outlineLevel="1" x14ac:dyDescent="0.25">
      <c r="A3335" t="s">
        <v>450</v>
      </c>
      <c r="B3335" t="s">
        <v>12</v>
      </c>
      <c r="C3335" s="1" t="str">
        <f>HYPERLINK("http://продеталь.рф/search.html?article=MD06093A0","MD06093A0")</f>
        <v>MD06093A0</v>
      </c>
      <c r="D3335" t="s">
        <v>9</v>
      </c>
    </row>
    <row r="3336" spans="1:4" outlineLevel="1" x14ac:dyDescent="0.25">
      <c r="A3336" t="s">
        <v>450</v>
      </c>
      <c r="B3336" t="s">
        <v>71</v>
      </c>
      <c r="C3336" s="1" t="str">
        <f>HYPERLINK("http://продеталь.рф/search.html?article=MD06013A0","MD06013A0")</f>
        <v>MD06013A0</v>
      </c>
      <c r="D3336" t="s">
        <v>9</v>
      </c>
    </row>
    <row r="3337" spans="1:4" outlineLevel="1" x14ac:dyDescent="0.25">
      <c r="A3337" t="s">
        <v>450</v>
      </c>
      <c r="B3337" t="s">
        <v>32</v>
      </c>
      <c r="C3337" s="1" t="str">
        <f>HYPERLINK("http://продеталь.рф/search.html?article=32100741","32100741")</f>
        <v>32100741</v>
      </c>
      <c r="D3337" t="s">
        <v>4</v>
      </c>
    </row>
    <row r="3338" spans="1:4" outlineLevel="1" x14ac:dyDescent="0.25">
      <c r="A3338" t="s">
        <v>450</v>
      </c>
      <c r="B3338" t="s">
        <v>32</v>
      </c>
      <c r="C3338" s="1" t="str">
        <f>HYPERLINK("http://продеталь.рф/search.html?article=32100731","32100731")</f>
        <v>32100731</v>
      </c>
      <c r="D3338" t="s">
        <v>4</v>
      </c>
    </row>
    <row r="3339" spans="1:4" outlineLevel="1" x14ac:dyDescent="0.25">
      <c r="A3339" t="s">
        <v>450</v>
      </c>
      <c r="B3339" t="s">
        <v>41</v>
      </c>
      <c r="C3339" s="1" t="str">
        <f>HYPERLINK("http://продеталь.рф/search.html?article=SBZ1107L","SBZ1107L")</f>
        <v>SBZ1107L</v>
      </c>
      <c r="D3339" t="s">
        <v>4</v>
      </c>
    </row>
    <row r="3340" spans="1:4" outlineLevel="1" x14ac:dyDescent="0.25">
      <c r="A3340" t="s">
        <v>450</v>
      </c>
      <c r="B3340" t="s">
        <v>188</v>
      </c>
      <c r="C3340" s="1" t="str">
        <f>HYPERLINK("http://продеталь.рф/search.html?article=SBZ1109L","SBZ1109L")</f>
        <v>SBZ1109L</v>
      </c>
      <c r="D3340" t="s">
        <v>63</v>
      </c>
    </row>
    <row r="3341" spans="1:4" outlineLevel="1" x14ac:dyDescent="0.25">
      <c r="A3341" t="s">
        <v>450</v>
      </c>
      <c r="B3341" t="s">
        <v>189</v>
      </c>
      <c r="C3341" s="1" t="str">
        <f>HYPERLINK("http://продеталь.рф/search.html?article=SBZ1109R","SBZ1109R")</f>
        <v>SBZ1109R</v>
      </c>
      <c r="D3341" t="s">
        <v>63</v>
      </c>
    </row>
    <row r="3342" spans="1:4" outlineLevel="1" x14ac:dyDescent="0.25">
      <c r="A3342" t="s">
        <v>450</v>
      </c>
      <c r="B3342" t="s">
        <v>16</v>
      </c>
      <c r="C3342" s="1" t="str">
        <f>HYPERLINK("http://продеталь.рф/search.html?article=183358012","183358012")</f>
        <v>183358012</v>
      </c>
      <c r="D3342" t="s">
        <v>4</v>
      </c>
    </row>
    <row r="3343" spans="1:4" outlineLevel="1" x14ac:dyDescent="0.25">
      <c r="A3343" t="s">
        <v>450</v>
      </c>
      <c r="B3343" t="s">
        <v>16</v>
      </c>
      <c r="C3343" s="1" t="str">
        <f>HYPERLINK("http://продеталь.рф/search.html?article=183357012","183357012")</f>
        <v>183357012</v>
      </c>
      <c r="D3343" t="s">
        <v>4</v>
      </c>
    </row>
    <row r="3344" spans="1:4" outlineLevel="1" x14ac:dyDescent="0.25">
      <c r="A3344" t="s">
        <v>450</v>
      </c>
      <c r="B3344" t="s">
        <v>453</v>
      </c>
      <c r="C3344" s="1" t="str">
        <f>HYPERLINK("http://продеталь.рф/search.html?article=9EL150987001","9EL150987001")</f>
        <v>9EL150987001</v>
      </c>
      <c r="D3344" t="s">
        <v>43</v>
      </c>
    </row>
    <row r="3345" spans="1:4" outlineLevel="1" x14ac:dyDescent="0.25">
      <c r="A3345" t="s">
        <v>450</v>
      </c>
      <c r="B3345" t="s">
        <v>453</v>
      </c>
      <c r="C3345" s="1" t="str">
        <f>HYPERLINK("http://продеталь.рф/search.html?article=9EL150988001","9EL150988001")</f>
        <v>9EL150988001</v>
      </c>
      <c r="D3345" t="s">
        <v>43</v>
      </c>
    </row>
    <row r="3346" spans="1:4" x14ac:dyDescent="0.25">
      <c r="A3346" t="s">
        <v>454</v>
      </c>
      <c r="B3346" s="2" t="s">
        <v>454</v>
      </c>
      <c r="C3346" s="2"/>
      <c r="D3346" s="2"/>
    </row>
    <row r="3347" spans="1:4" outlineLevel="1" x14ac:dyDescent="0.25">
      <c r="A3347" t="s">
        <v>454</v>
      </c>
      <c r="B3347" t="s">
        <v>11</v>
      </c>
      <c r="C3347" s="1" t="str">
        <f>HYPERLINK("http://продеталь.рф/search.html?article=BZ04018BA","BZ04018BA")</f>
        <v>BZ04018BA</v>
      </c>
      <c r="D3347" t="s">
        <v>2</v>
      </c>
    </row>
    <row r="3348" spans="1:4" outlineLevel="1" x14ac:dyDescent="0.25">
      <c r="A3348" t="s">
        <v>454</v>
      </c>
      <c r="B3348" t="s">
        <v>11</v>
      </c>
      <c r="C3348" s="1" t="str">
        <f>HYPERLINK("http://продеталь.рф/search.html?article=MC13","MC13")</f>
        <v>MC13</v>
      </c>
      <c r="D3348" t="s">
        <v>18</v>
      </c>
    </row>
    <row r="3349" spans="1:4" outlineLevel="1" x14ac:dyDescent="0.25">
      <c r="A3349" t="s">
        <v>454</v>
      </c>
      <c r="B3349" t="s">
        <v>79</v>
      </c>
      <c r="C3349" s="1" t="str">
        <f>HYPERLINK("http://продеталь.рф/search.html?article=MD070040","MD070040")</f>
        <v>MD070040</v>
      </c>
      <c r="D3349" t="s">
        <v>9</v>
      </c>
    </row>
    <row r="3350" spans="1:4" outlineLevel="1" x14ac:dyDescent="0.25">
      <c r="A3350" t="s">
        <v>454</v>
      </c>
      <c r="B3350" t="s">
        <v>83</v>
      </c>
      <c r="C3350" s="1" t="str">
        <f>HYPERLINK("http://продеталь.рф/search.html?article=MD07000C2","MD07000C2")</f>
        <v>MD07000C2</v>
      </c>
      <c r="D3350" t="s">
        <v>9</v>
      </c>
    </row>
    <row r="3351" spans="1:4" outlineLevel="1" x14ac:dyDescent="0.25">
      <c r="A3351" t="s">
        <v>454</v>
      </c>
      <c r="B3351" t="s">
        <v>101</v>
      </c>
      <c r="C3351" s="1" t="str">
        <f>HYPERLINK("http://продеталь.рф/search.html?article=MD07000C0","MD07000C0")</f>
        <v>MD07000C0</v>
      </c>
      <c r="D3351" t="s">
        <v>9</v>
      </c>
    </row>
    <row r="3352" spans="1:4" outlineLevel="1" x14ac:dyDescent="0.25">
      <c r="A3352" t="s">
        <v>454</v>
      </c>
      <c r="B3352" t="s">
        <v>35</v>
      </c>
      <c r="C3352" s="1" t="str">
        <f>HYPERLINK("http://продеталь.рф/search.html?article=310524","310524")</f>
        <v>310524</v>
      </c>
      <c r="D3352" t="s">
        <v>21</v>
      </c>
    </row>
    <row r="3353" spans="1:4" outlineLevel="1" x14ac:dyDescent="0.25">
      <c r="A3353" t="s">
        <v>454</v>
      </c>
      <c r="B3353" t="s">
        <v>80</v>
      </c>
      <c r="C3353" s="1" t="str">
        <f>HYPERLINK("http://продеталь.рф/search.html?article=BZ33008B","BZ33008B")</f>
        <v>BZ33008B</v>
      </c>
      <c r="D3353" t="s">
        <v>2</v>
      </c>
    </row>
    <row r="3354" spans="1:4" outlineLevel="1" x14ac:dyDescent="0.25">
      <c r="A3354" t="s">
        <v>454</v>
      </c>
      <c r="B3354" t="s">
        <v>84</v>
      </c>
      <c r="C3354" s="1" t="str">
        <f>HYPERLINK("http://продеталь.рф/search.html?article=MD07027B2","MD07027B2")</f>
        <v>MD07027B2</v>
      </c>
      <c r="D3354" t="s">
        <v>9</v>
      </c>
    </row>
    <row r="3355" spans="1:4" outlineLevel="1" x14ac:dyDescent="0.25">
      <c r="A3355" t="s">
        <v>454</v>
      </c>
      <c r="B3355" t="s">
        <v>24</v>
      </c>
      <c r="C3355" s="1" t="str">
        <f>HYPERLINK("http://продеталь.рф/search.html?article=MD070161","MD070161")</f>
        <v>MD070161</v>
      </c>
      <c r="D3355" t="s">
        <v>9</v>
      </c>
    </row>
    <row r="3356" spans="1:4" outlineLevel="1" x14ac:dyDescent="0.25">
      <c r="A3356" t="s">
        <v>454</v>
      </c>
      <c r="B3356" t="s">
        <v>240</v>
      </c>
      <c r="C3356" s="1" t="str">
        <f>HYPERLINK("http://продеталь.рф/search.html?article=3210048","3210048")</f>
        <v>3210048</v>
      </c>
      <c r="D3356" t="s">
        <v>4</v>
      </c>
    </row>
    <row r="3357" spans="1:4" outlineLevel="1" x14ac:dyDescent="0.25">
      <c r="A3357" t="s">
        <v>454</v>
      </c>
      <c r="B3357" t="s">
        <v>240</v>
      </c>
      <c r="C3357" s="1" t="str">
        <f>HYPERLINK("http://продеталь.рф/search.html?article=3210047","3210047")</f>
        <v>3210047</v>
      </c>
      <c r="D3357" t="s">
        <v>4</v>
      </c>
    </row>
    <row r="3358" spans="1:4" outlineLevel="1" x14ac:dyDescent="0.25">
      <c r="A3358" t="s">
        <v>454</v>
      </c>
      <c r="B3358" t="s">
        <v>26</v>
      </c>
      <c r="C3358" s="1" t="str">
        <f>HYPERLINK("http://продеталь.рф/search.html?article=MD07000MC1","MD07000MC1")</f>
        <v>MD07000MC1</v>
      </c>
      <c r="D3358" t="s">
        <v>9</v>
      </c>
    </row>
    <row r="3359" spans="1:4" outlineLevel="1" x14ac:dyDescent="0.25">
      <c r="A3359" t="s">
        <v>454</v>
      </c>
      <c r="B3359" t="s">
        <v>26</v>
      </c>
      <c r="C3359" s="1" t="str">
        <f>HYPERLINK("http://продеталь.рф/search.html?article=MD07000ME2","MD07000ME2")</f>
        <v>MD07000ME2</v>
      </c>
      <c r="D3359" t="s">
        <v>9</v>
      </c>
    </row>
    <row r="3360" spans="1:4" outlineLevel="1" x14ac:dyDescent="0.25">
      <c r="A3360" t="s">
        <v>454</v>
      </c>
      <c r="B3360" t="s">
        <v>26</v>
      </c>
      <c r="C3360" s="1" t="str">
        <f>HYPERLINK("http://продеталь.рф/search.html?article=PBZ04017MBL","PBZ04017MBL")</f>
        <v>PBZ04017MBL</v>
      </c>
      <c r="D3360" t="s">
        <v>6</v>
      </c>
    </row>
    <row r="3361" spans="1:4" outlineLevel="1" x14ac:dyDescent="0.25">
      <c r="A3361" t="s">
        <v>454</v>
      </c>
      <c r="B3361" t="s">
        <v>26</v>
      </c>
      <c r="C3361" s="1" t="str">
        <f>HYPERLINK("http://продеталь.рф/search.html?article=PBZ04017MBR","PBZ04017MBR")</f>
        <v>PBZ04017MBR</v>
      </c>
      <c r="D3361" t="s">
        <v>6</v>
      </c>
    </row>
    <row r="3362" spans="1:4" outlineLevel="1" x14ac:dyDescent="0.25">
      <c r="A3362" t="s">
        <v>454</v>
      </c>
      <c r="B3362" t="s">
        <v>455</v>
      </c>
      <c r="C3362" s="1" t="str">
        <f>HYPERLINK("http://продеталь.рф/search.html?article=BZ04018MCL","BZ04018MCL")</f>
        <v>BZ04018MCL</v>
      </c>
      <c r="D3362" t="s">
        <v>2</v>
      </c>
    </row>
    <row r="3363" spans="1:4" outlineLevel="1" x14ac:dyDescent="0.25">
      <c r="A3363" t="s">
        <v>454</v>
      </c>
      <c r="B3363" t="s">
        <v>27</v>
      </c>
      <c r="C3363" s="1" t="str">
        <f>HYPERLINK("http://продеталь.рф/search.html?article=MD07009U0","MD07009U0")</f>
        <v>MD07009U0</v>
      </c>
      <c r="D3363" t="s">
        <v>9</v>
      </c>
    </row>
    <row r="3364" spans="1:4" outlineLevel="1" x14ac:dyDescent="0.25">
      <c r="A3364" t="s">
        <v>454</v>
      </c>
      <c r="B3364" t="s">
        <v>27</v>
      </c>
      <c r="C3364" s="1" t="str">
        <f>HYPERLINK("http://продеталь.рф/search.html?article=PBZ30010CL","PBZ30010CL")</f>
        <v>PBZ30010CL</v>
      </c>
      <c r="D3364" t="s">
        <v>6</v>
      </c>
    </row>
    <row r="3365" spans="1:4" outlineLevel="1" x14ac:dyDescent="0.25">
      <c r="A3365" t="s">
        <v>454</v>
      </c>
      <c r="B3365" t="s">
        <v>27</v>
      </c>
      <c r="C3365" s="1" t="str">
        <f>HYPERLINK("http://продеталь.рф/search.html?article=PBZ30010CR","PBZ30010CR")</f>
        <v>PBZ30010CR</v>
      </c>
      <c r="D3365" t="s">
        <v>6</v>
      </c>
    </row>
    <row r="3366" spans="1:4" outlineLevel="1" x14ac:dyDescent="0.25">
      <c r="A3366" t="s">
        <v>454</v>
      </c>
      <c r="B3366" t="s">
        <v>3</v>
      </c>
      <c r="C3366" s="1" t="str">
        <f>HYPERLINK("http://продеталь.рф/search.html?article=200569052","200569052")</f>
        <v>200569052</v>
      </c>
      <c r="D3366" t="s">
        <v>4</v>
      </c>
    </row>
    <row r="3367" spans="1:4" outlineLevel="1" x14ac:dyDescent="0.25">
      <c r="A3367" t="s">
        <v>454</v>
      </c>
      <c r="B3367" t="s">
        <v>3</v>
      </c>
      <c r="C3367" s="1" t="str">
        <f>HYPERLINK("http://продеталь.рф/search.html?article=ZBZ1142LK","ZBZ1142LK")</f>
        <v>ZBZ1142LK</v>
      </c>
      <c r="D3367" t="s">
        <v>6</v>
      </c>
    </row>
    <row r="3368" spans="1:4" outlineLevel="1" x14ac:dyDescent="0.25">
      <c r="A3368" t="s">
        <v>454</v>
      </c>
      <c r="B3368" t="s">
        <v>5</v>
      </c>
      <c r="C3368" s="1" t="str">
        <f>HYPERLINK("http://продеталь.рф/search.html?article=211140A","211140A")</f>
        <v>211140A</v>
      </c>
      <c r="D3368" t="s">
        <v>21</v>
      </c>
    </row>
    <row r="3369" spans="1:4" outlineLevel="1" x14ac:dyDescent="0.25">
      <c r="A3369" t="s">
        <v>454</v>
      </c>
      <c r="B3369" t="s">
        <v>5</v>
      </c>
      <c r="C3369" s="1" t="str">
        <f>HYPERLINK("http://продеталь.рф/search.html?article=211139B","211139B")</f>
        <v>211139B</v>
      </c>
      <c r="D3369" t="s">
        <v>21</v>
      </c>
    </row>
    <row r="3370" spans="1:4" outlineLevel="1" x14ac:dyDescent="0.25">
      <c r="A3370" t="s">
        <v>454</v>
      </c>
      <c r="B3370" t="s">
        <v>5</v>
      </c>
      <c r="C3370" s="1" t="str">
        <f>HYPERLINK("http://продеталь.рф/search.html?article=211140B","211140B")</f>
        <v>211140B</v>
      </c>
      <c r="D3370" t="s">
        <v>21</v>
      </c>
    </row>
    <row r="3371" spans="1:4" outlineLevel="1" x14ac:dyDescent="0.25">
      <c r="A3371" t="s">
        <v>454</v>
      </c>
      <c r="B3371" t="s">
        <v>5</v>
      </c>
      <c r="C3371" s="1" t="str">
        <f>HYPERLINK("http://продеталь.рф/search.html?article=211139C","211139C")</f>
        <v>211139C</v>
      </c>
      <c r="D3371" t="s">
        <v>21</v>
      </c>
    </row>
    <row r="3372" spans="1:4" outlineLevel="1" x14ac:dyDescent="0.25">
      <c r="A3372" t="s">
        <v>454</v>
      </c>
      <c r="B3372" t="s">
        <v>5</v>
      </c>
      <c r="C3372" s="1" t="str">
        <f>HYPERLINK("http://продеталь.рф/search.html?article=211140C","211140C")</f>
        <v>211140C</v>
      </c>
      <c r="D3372" t="s">
        <v>21</v>
      </c>
    </row>
    <row r="3373" spans="1:4" outlineLevel="1" x14ac:dyDescent="0.25">
      <c r="A3373" t="s">
        <v>454</v>
      </c>
      <c r="B3373" t="s">
        <v>19</v>
      </c>
      <c r="C3373" s="1" t="str">
        <f>HYPERLINK("http://продеталь.рф/search.html?article=190186019","190186019")</f>
        <v>190186019</v>
      </c>
      <c r="D3373" t="s">
        <v>4</v>
      </c>
    </row>
    <row r="3374" spans="1:4" outlineLevel="1" x14ac:dyDescent="0.25">
      <c r="A3374" t="s">
        <v>454</v>
      </c>
      <c r="B3374" t="s">
        <v>19</v>
      </c>
      <c r="C3374" s="1" t="str">
        <f>HYPERLINK("http://продеталь.рф/search.html?article=190185019","190185019")</f>
        <v>190185019</v>
      </c>
      <c r="D3374" t="s">
        <v>4</v>
      </c>
    </row>
    <row r="3375" spans="1:4" outlineLevel="1" x14ac:dyDescent="0.25">
      <c r="A3375" t="s">
        <v>454</v>
      </c>
      <c r="B3375" t="s">
        <v>19</v>
      </c>
      <c r="C3375" s="1" t="str">
        <f>HYPERLINK("http://продеталь.рф/search.html?article=4402012RAQ","4402012RAQ")</f>
        <v>4402012RAQ</v>
      </c>
      <c r="D3375" t="s">
        <v>456</v>
      </c>
    </row>
    <row r="3376" spans="1:4" outlineLevel="1" x14ac:dyDescent="0.25">
      <c r="A3376" t="s">
        <v>454</v>
      </c>
      <c r="B3376" t="s">
        <v>19</v>
      </c>
      <c r="C3376" s="1" t="str">
        <f>HYPERLINK("http://продеталь.рф/search.html?article=190554019","190554019")</f>
        <v>190554019</v>
      </c>
      <c r="D3376" t="s">
        <v>4</v>
      </c>
    </row>
    <row r="3377" spans="1:4" outlineLevel="1" x14ac:dyDescent="0.25">
      <c r="A3377" t="s">
        <v>454</v>
      </c>
      <c r="B3377" t="s">
        <v>19</v>
      </c>
      <c r="C3377" s="1" t="str">
        <f>HYPERLINK("http://продеталь.рф/search.html?article=190420019","190420019")</f>
        <v>190420019</v>
      </c>
      <c r="D3377" t="s">
        <v>4</v>
      </c>
    </row>
    <row r="3378" spans="1:4" outlineLevel="1" x14ac:dyDescent="0.25">
      <c r="A3378" t="s">
        <v>454</v>
      </c>
      <c r="B3378" t="s">
        <v>263</v>
      </c>
      <c r="C3378" s="1" t="str">
        <f>HYPERLINK("http://продеталь.рф/search.html?article=PBZ30010AL","PBZ30010AL")</f>
        <v>PBZ30010AL</v>
      </c>
      <c r="D3378" t="s">
        <v>6</v>
      </c>
    </row>
    <row r="3379" spans="1:4" outlineLevel="1" x14ac:dyDescent="0.25">
      <c r="A3379" t="s">
        <v>454</v>
      </c>
      <c r="B3379" t="s">
        <v>40</v>
      </c>
      <c r="C3379" s="1" t="str">
        <f>HYPERLINK("http://продеталь.рф/search.html?article=MD07000G2","MD07000G2")</f>
        <v>MD07000G2</v>
      </c>
      <c r="D3379" t="s">
        <v>9</v>
      </c>
    </row>
    <row r="3380" spans="1:4" outlineLevel="1" x14ac:dyDescent="0.25">
      <c r="A3380" t="s">
        <v>454</v>
      </c>
      <c r="B3380" t="s">
        <v>40</v>
      </c>
      <c r="C3380" s="1" t="str">
        <f>HYPERLINK("http://продеталь.рф/search.html?article=MD07000G1","MD07000G1")</f>
        <v>MD07000G1</v>
      </c>
      <c r="D3380" t="s">
        <v>9</v>
      </c>
    </row>
    <row r="3381" spans="1:4" outlineLevel="1" x14ac:dyDescent="0.25">
      <c r="A3381" t="s">
        <v>454</v>
      </c>
      <c r="B3381" t="s">
        <v>276</v>
      </c>
      <c r="C3381" s="1" t="str">
        <f>HYPERLINK("http://продеталь.рф/search.html?article=SBZ2004CL","SBZ2004CL")</f>
        <v>SBZ2004CL</v>
      </c>
      <c r="D3381" t="s">
        <v>63</v>
      </c>
    </row>
    <row r="3382" spans="1:4" outlineLevel="1" x14ac:dyDescent="0.25">
      <c r="A3382" t="s">
        <v>454</v>
      </c>
      <c r="B3382" t="s">
        <v>457</v>
      </c>
      <c r="C3382" s="1" t="str">
        <f>HYPERLINK("http://продеталь.рф/search.html?article=150065002","150065002")</f>
        <v>150065002</v>
      </c>
      <c r="D3382" t="s">
        <v>4</v>
      </c>
    </row>
    <row r="3383" spans="1:4" outlineLevel="1" x14ac:dyDescent="0.25">
      <c r="A3383" t="s">
        <v>454</v>
      </c>
      <c r="B3383" t="s">
        <v>13</v>
      </c>
      <c r="C3383" s="1" t="str">
        <f>HYPERLINK("http://продеталь.рф/search.html?article=BZ44014A","BZ44014A")</f>
        <v>BZ44014A</v>
      </c>
      <c r="D3383" t="s">
        <v>2</v>
      </c>
    </row>
    <row r="3384" spans="1:4" x14ac:dyDescent="0.25">
      <c r="A3384" t="s">
        <v>458</v>
      </c>
      <c r="B3384" s="2" t="s">
        <v>458</v>
      </c>
      <c r="C3384" s="2"/>
      <c r="D3384" s="2"/>
    </row>
    <row r="3385" spans="1:4" outlineLevel="1" x14ac:dyDescent="0.25">
      <c r="A3385" t="s">
        <v>458</v>
      </c>
      <c r="B3385" t="s">
        <v>83</v>
      </c>
      <c r="C3385" s="1" t="str">
        <f>HYPERLINK("http://продеталь.рф/search.html?article=BZ99036CAR","BZ99036CAR")</f>
        <v>BZ99036CAR</v>
      </c>
      <c r="D3385" t="s">
        <v>2</v>
      </c>
    </row>
    <row r="3386" spans="1:4" outlineLevel="1" x14ac:dyDescent="0.25">
      <c r="A3386" t="s">
        <v>458</v>
      </c>
      <c r="B3386" t="s">
        <v>86</v>
      </c>
      <c r="C3386" s="1" t="str">
        <f>HYPERLINK("http://продеталь.рф/search.html?article=MD071027B0L00","MD071027B0L00")</f>
        <v>MD071027B0L00</v>
      </c>
      <c r="D3386" t="s">
        <v>9</v>
      </c>
    </row>
    <row r="3387" spans="1:4" outlineLevel="1" x14ac:dyDescent="0.25">
      <c r="A3387" t="s">
        <v>458</v>
      </c>
      <c r="B3387" t="s">
        <v>86</v>
      </c>
      <c r="C3387" s="1" t="str">
        <f>HYPERLINK("http://продеталь.рф/search.html?article=MD071027B0R00","MD071027B0R00")</f>
        <v>MD071027B0R00</v>
      </c>
      <c r="D3387" t="s">
        <v>9</v>
      </c>
    </row>
    <row r="3388" spans="1:4" outlineLevel="1" x14ac:dyDescent="0.25">
      <c r="A3388" t="s">
        <v>458</v>
      </c>
      <c r="B3388" t="s">
        <v>24</v>
      </c>
      <c r="C3388" s="1" t="str">
        <f>HYPERLINK("http://продеталь.рф/search.html?article=MD07101601L00","MD07101601L00")</f>
        <v>MD07101601L00</v>
      </c>
      <c r="D3388" t="s">
        <v>9</v>
      </c>
    </row>
    <row r="3389" spans="1:4" outlineLevel="1" x14ac:dyDescent="0.25">
      <c r="A3389" t="s">
        <v>458</v>
      </c>
      <c r="B3389" t="s">
        <v>24</v>
      </c>
      <c r="C3389" s="1" t="str">
        <f>HYPERLINK("http://продеталь.рф/search.html?article=MD07101601R00","MD07101601R00")</f>
        <v>MD07101601R00</v>
      </c>
      <c r="D3389" t="s">
        <v>9</v>
      </c>
    </row>
    <row r="3390" spans="1:4" outlineLevel="1" x14ac:dyDescent="0.25">
      <c r="A3390" t="s">
        <v>458</v>
      </c>
      <c r="B3390" t="s">
        <v>66</v>
      </c>
      <c r="C3390" s="1" t="str">
        <f>HYPERLINK("http://продеталь.рф/search.html?article=BK117","BK117")</f>
        <v>BK117</v>
      </c>
      <c r="D3390" t="s">
        <v>6</v>
      </c>
    </row>
    <row r="3391" spans="1:4" outlineLevel="1" x14ac:dyDescent="0.25">
      <c r="A3391" t="s">
        <v>458</v>
      </c>
      <c r="B3391" t="s">
        <v>38</v>
      </c>
      <c r="C3391" s="1" t="str">
        <f>HYPERLINK("http://продеталь.рф/search.html?article=FN0141L","FN0141L")</f>
        <v>FN0141L</v>
      </c>
      <c r="D3391" t="s">
        <v>36</v>
      </c>
    </row>
    <row r="3392" spans="1:4" outlineLevel="1" x14ac:dyDescent="0.25">
      <c r="A3392" t="s">
        <v>458</v>
      </c>
      <c r="B3392" t="s">
        <v>38</v>
      </c>
      <c r="C3392" s="1" t="str">
        <f>HYPERLINK("http://продеталь.рф/search.html?article=FN0141R","FN0141R")</f>
        <v>FN0141R</v>
      </c>
      <c r="D3392" t="s">
        <v>36</v>
      </c>
    </row>
    <row r="3393" spans="1:4" outlineLevel="1" x14ac:dyDescent="0.25">
      <c r="A3393" t="s">
        <v>458</v>
      </c>
      <c r="B3393" t="s">
        <v>26</v>
      </c>
      <c r="C3393" s="1" t="str">
        <f>HYPERLINK("http://продеталь.рф/search.html?article=BZ04063MAL","BZ04063MAL")</f>
        <v>BZ04063MAL</v>
      </c>
      <c r="D3393" t="s">
        <v>2</v>
      </c>
    </row>
    <row r="3394" spans="1:4" outlineLevel="1" x14ac:dyDescent="0.25">
      <c r="A3394" t="s">
        <v>458</v>
      </c>
      <c r="B3394" t="s">
        <v>5</v>
      </c>
      <c r="C3394" s="1" t="str">
        <f>HYPERLINK("http://продеталь.рф/search.html?article=BZ11040AL","BZ11040AL")</f>
        <v>BZ11040AL</v>
      </c>
      <c r="D3394" t="s">
        <v>2</v>
      </c>
    </row>
    <row r="3395" spans="1:4" outlineLevel="1" x14ac:dyDescent="0.25">
      <c r="A3395" t="s">
        <v>458</v>
      </c>
      <c r="B3395" t="s">
        <v>5</v>
      </c>
      <c r="C3395" s="1" t="str">
        <f>HYPERLINK("http://продеталь.рф/search.html?article=BZ11040AR","BZ11040AR")</f>
        <v>BZ11040AR</v>
      </c>
      <c r="D3395" t="s">
        <v>2</v>
      </c>
    </row>
    <row r="3396" spans="1:4" outlineLevel="1" x14ac:dyDescent="0.25">
      <c r="A3396" t="s">
        <v>458</v>
      </c>
      <c r="B3396" t="s">
        <v>263</v>
      </c>
      <c r="C3396" s="1" t="str">
        <f>HYPERLINK("http://продеталь.рф/search.html?article=PBZ30017AR","PBZ30017AR")</f>
        <v>PBZ30017AR</v>
      </c>
      <c r="D3396" t="s">
        <v>6</v>
      </c>
    </row>
    <row r="3397" spans="1:4" outlineLevel="1" x14ac:dyDescent="0.25">
      <c r="A3397" t="s">
        <v>458</v>
      </c>
      <c r="B3397" t="s">
        <v>12</v>
      </c>
      <c r="C3397" s="1" t="str">
        <f>HYPERLINK("http://продеталь.рф/search.html?article=BZ07059GA","BZ07059GA")</f>
        <v>BZ07059GA</v>
      </c>
      <c r="D3397" t="s">
        <v>2</v>
      </c>
    </row>
    <row r="3398" spans="1:4" outlineLevel="1" x14ac:dyDescent="0.25">
      <c r="A3398" t="s">
        <v>458</v>
      </c>
      <c r="B3398" t="s">
        <v>32</v>
      </c>
      <c r="C3398" s="1" t="str">
        <f>HYPERLINK("http://продеталь.рф/search.html?article=MD071941G0L00","MD071941G0L00")</f>
        <v>MD071941G0L00</v>
      </c>
      <c r="D3398" t="s">
        <v>9</v>
      </c>
    </row>
    <row r="3399" spans="1:4" outlineLevel="1" x14ac:dyDescent="0.25">
      <c r="A3399" t="s">
        <v>458</v>
      </c>
      <c r="B3399" t="s">
        <v>32</v>
      </c>
      <c r="C3399" s="1" t="str">
        <f>HYPERLINK("http://продеталь.рф/search.html?article=BZM1034AGL","BZM1034AGL")</f>
        <v>BZM1034AGL</v>
      </c>
      <c r="D3399" t="s">
        <v>2</v>
      </c>
    </row>
    <row r="3400" spans="1:4" x14ac:dyDescent="0.25">
      <c r="A3400" t="s">
        <v>459</v>
      </c>
      <c r="B3400" s="2" t="s">
        <v>459</v>
      </c>
      <c r="C3400" s="2"/>
      <c r="D3400" s="2"/>
    </row>
    <row r="3401" spans="1:4" outlineLevel="1" x14ac:dyDescent="0.25">
      <c r="A3401" t="s">
        <v>459</v>
      </c>
      <c r="B3401" t="s">
        <v>24</v>
      </c>
      <c r="C3401" s="1" t="str">
        <f>HYPERLINK("http://продеталь.рф/search.html?article=MD100162","MD100162")</f>
        <v>MD100162</v>
      </c>
      <c r="D3401" t="s">
        <v>9</v>
      </c>
    </row>
    <row r="3402" spans="1:4" x14ac:dyDescent="0.25">
      <c r="A3402" t="s">
        <v>460</v>
      </c>
      <c r="B3402" s="2" t="s">
        <v>460</v>
      </c>
      <c r="C3402" s="2"/>
      <c r="D3402" s="2"/>
    </row>
    <row r="3403" spans="1:4" outlineLevel="1" x14ac:dyDescent="0.25">
      <c r="A3403" t="s">
        <v>460</v>
      </c>
      <c r="B3403" t="s">
        <v>457</v>
      </c>
      <c r="C3403" s="1" t="str">
        <f>HYPERLINK("http://продеталь.рф/search.html?article=15A077002B","15A077002B")</f>
        <v>15A077002B</v>
      </c>
      <c r="D3403" t="s">
        <v>4</v>
      </c>
    </row>
    <row r="3404" spans="1:4" x14ac:dyDescent="0.25">
      <c r="A3404" t="s">
        <v>461</v>
      </c>
      <c r="B3404" s="2" t="s">
        <v>461</v>
      </c>
      <c r="C3404" s="2"/>
      <c r="D3404" s="2"/>
    </row>
    <row r="3405" spans="1:4" outlineLevel="1" x14ac:dyDescent="0.25">
      <c r="A3405" t="s">
        <v>461</v>
      </c>
      <c r="B3405" t="s">
        <v>11</v>
      </c>
      <c r="C3405" s="1" t="str">
        <f>HYPERLINK("http://продеталь.рф/search.html?article=BZ04008BA","BZ04008BA")</f>
        <v>BZ04008BA</v>
      </c>
      <c r="D3405" t="s">
        <v>2</v>
      </c>
    </row>
    <row r="3406" spans="1:4" outlineLevel="1" x14ac:dyDescent="0.25">
      <c r="A3406" t="s">
        <v>461</v>
      </c>
      <c r="B3406" t="s">
        <v>11</v>
      </c>
      <c r="C3406" s="1" t="str">
        <f>HYPERLINK("http://продеталь.рф/search.html?article=BZ04020BA","BZ04020BA")</f>
        <v>BZ04020BA</v>
      </c>
      <c r="D3406" t="s">
        <v>2</v>
      </c>
    </row>
    <row r="3407" spans="1:4" outlineLevel="1" x14ac:dyDescent="0.25">
      <c r="A3407" t="s">
        <v>461</v>
      </c>
      <c r="B3407" t="s">
        <v>11</v>
      </c>
      <c r="C3407" s="1" t="str">
        <f>HYPERLINK("http://продеталь.рф/search.html?article=BZ04020BB","BZ04020BB")</f>
        <v>BZ04020BB</v>
      </c>
      <c r="D3407" t="s">
        <v>2</v>
      </c>
    </row>
    <row r="3408" spans="1:4" outlineLevel="1" x14ac:dyDescent="0.25">
      <c r="A3408" t="s">
        <v>461</v>
      </c>
      <c r="B3408" t="s">
        <v>15</v>
      </c>
      <c r="C3408" s="1" t="str">
        <f>HYPERLINK("http://продеталь.рф/search.html?article=3210032","3210032")</f>
        <v>3210032</v>
      </c>
      <c r="D3408" t="s">
        <v>4</v>
      </c>
    </row>
    <row r="3409" spans="1:4" outlineLevel="1" x14ac:dyDescent="0.25">
      <c r="A3409" t="s">
        <v>461</v>
      </c>
      <c r="B3409" t="s">
        <v>15</v>
      </c>
      <c r="C3409" s="1" t="str">
        <f>HYPERLINK("http://продеталь.рф/search.html?article=3210031","3210031")</f>
        <v>3210031</v>
      </c>
      <c r="D3409" t="s">
        <v>4</v>
      </c>
    </row>
    <row r="3410" spans="1:4" outlineLevel="1" x14ac:dyDescent="0.25">
      <c r="A3410" t="s">
        <v>461</v>
      </c>
      <c r="B3410" t="s">
        <v>15</v>
      </c>
      <c r="C3410" s="1" t="str">
        <f>HYPERLINK("http://продеталь.рф/search.html?article=3210076","3210076")</f>
        <v>3210076</v>
      </c>
      <c r="D3410" t="s">
        <v>4</v>
      </c>
    </row>
    <row r="3411" spans="1:4" outlineLevel="1" x14ac:dyDescent="0.25">
      <c r="A3411" t="s">
        <v>461</v>
      </c>
      <c r="B3411" t="s">
        <v>15</v>
      </c>
      <c r="C3411" s="1" t="str">
        <f>HYPERLINK("http://продеталь.рф/search.html?article=3210085","3210085")</f>
        <v>3210085</v>
      </c>
      <c r="D3411" t="s">
        <v>4</v>
      </c>
    </row>
    <row r="3412" spans="1:4" outlineLevel="1" x14ac:dyDescent="0.25">
      <c r="A3412" t="s">
        <v>461</v>
      </c>
      <c r="B3412" t="s">
        <v>74</v>
      </c>
      <c r="C3412" s="1" t="str">
        <f>HYPERLINK("http://продеталь.рф/search.html?article=MD560040","MD560040")</f>
        <v>MD560040</v>
      </c>
      <c r="D3412" t="s">
        <v>9</v>
      </c>
    </row>
    <row r="3413" spans="1:4" outlineLevel="1" x14ac:dyDescent="0.25">
      <c r="A3413" t="s">
        <v>461</v>
      </c>
      <c r="B3413" t="s">
        <v>462</v>
      </c>
      <c r="C3413" s="1" t="str">
        <f>HYPERLINK("http://продеталь.рф/search.html?article=RDMD56004B0","RDMD56004B0")</f>
        <v>RDMD56004B0</v>
      </c>
      <c r="D3413" t="s">
        <v>6</v>
      </c>
    </row>
    <row r="3414" spans="1:4" outlineLevel="1" x14ac:dyDescent="0.25">
      <c r="A3414" t="s">
        <v>461</v>
      </c>
      <c r="B3414" t="s">
        <v>23</v>
      </c>
      <c r="C3414" s="1" t="str">
        <f>HYPERLINK("http://продеталь.рф/search.html?article=115190052","115190052")</f>
        <v>115190052</v>
      </c>
      <c r="D3414" t="s">
        <v>4</v>
      </c>
    </row>
    <row r="3415" spans="1:4" outlineLevel="1" x14ac:dyDescent="0.25">
      <c r="A3415" t="s">
        <v>461</v>
      </c>
      <c r="B3415" t="s">
        <v>23</v>
      </c>
      <c r="C3415" s="1" t="str">
        <f>HYPERLINK("http://продеталь.рф/search.html?article=BZ044U000L","BZ044U000L")</f>
        <v>BZ044U000L</v>
      </c>
      <c r="D3415" t="s">
        <v>69</v>
      </c>
    </row>
    <row r="3416" spans="1:4" outlineLevel="1" x14ac:dyDescent="0.25">
      <c r="A3416" t="s">
        <v>461</v>
      </c>
      <c r="B3416" t="s">
        <v>23</v>
      </c>
      <c r="C3416" s="1" t="str">
        <f>HYPERLINK("http://продеталь.рф/search.html?article=BZ044U000R","BZ044U000R")</f>
        <v>BZ044U000R</v>
      </c>
      <c r="D3416" t="s">
        <v>69</v>
      </c>
    </row>
    <row r="3417" spans="1:4" outlineLevel="1" x14ac:dyDescent="0.25">
      <c r="A3417" t="s">
        <v>461</v>
      </c>
      <c r="B3417" t="s">
        <v>45</v>
      </c>
      <c r="C3417" s="1" t="str">
        <f>HYPERLINK("http://продеталь.рф/search.html?article=3527581","3527581")</f>
        <v>3527581</v>
      </c>
      <c r="D3417" t="s">
        <v>46</v>
      </c>
    </row>
    <row r="3418" spans="1:4" outlineLevel="1" x14ac:dyDescent="0.25">
      <c r="A3418" t="s">
        <v>461</v>
      </c>
      <c r="B3418" t="s">
        <v>45</v>
      </c>
      <c r="C3418" s="1" t="str">
        <f>HYPERLINK("http://продеталь.рф/search.html?article=3527582","3527582")</f>
        <v>3527582</v>
      </c>
      <c r="D3418" t="s">
        <v>46</v>
      </c>
    </row>
    <row r="3419" spans="1:4" outlineLevel="1" x14ac:dyDescent="0.25">
      <c r="A3419" t="s">
        <v>461</v>
      </c>
      <c r="B3419" t="s">
        <v>80</v>
      </c>
      <c r="C3419" s="1" t="str">
        <f>HYPERLINK("http://продеталь.рф/search.html?article=310510","310510")</f>
        <v>310510</v>
      </c>
      <c r="D3419" t="s">
        <v>21</v>
      </c>
    </row>
    <row r="3420" spans="1:4" outlineLevel="1" x14ac:dyDescent="0.25">
      <c r="A3420" t="s">
        <v>461</v>
      </c>
      <c r="B3420" t="s">
        <v>1</v>
      </c>
      <c r="C3420" s="1" t="str">
        <f>HYPERLINK("http://продеталь.рф/search.html?article=BZ20017A","BZ20017A")</f>
        <v>BZ20017A</v>
      </c>
      <c r="D3420" t="s">
        <v>2</v>
      </c>
    </row>
    <row r="3421" spans="1:4" outlineLevel="1" x14ac:dyDescent="0.25">
      <c r="A3421" t="s">
        <v>461</v>
      </c>
      <c r="B3421" t="s">
        <v>24</v>
      </c>
      <c r="C3421" s="1" t="str">
        <f>HYPERLINK("http://продеталь.рф/search.html?article=BZ10012BL","BZ10012BL")</f>
        <v>BZ10012BL</v>
      </c>
      <c r="D3421" t="s">
        <v>2</v>
      </c>
    </row>
    <row r="3422" spans="1:4" outlineLevel="1" x14ac:dyDescent="0.25">
      <c r="A3422" t="s">
        <v>461</v>
      </c>
      <c r="B3422" t="s">
        <v>24</v>
      </c>
      <c r="C3422" s="1" t="str">
        <f>HYPERLINK("http://продеталь.рф/search.html?article=MD560162","MD560162")</f>
        <v>MD560162</v>
      </c>
      <c r="D3422" t="s">
        <v>9</v>
      </c>
    </row>
    <row r="3423" spans="1:4" outlineLevel="1" x14ac:dyDescent="0.25">
      <c r="A3423" t="s">
        <v>461</v>
      </c>
      <c r="B3423" t="s">
        <v>24</v>
      </c>
      <c r="C3423" s="1" t="str">
        <f>HYPERLINK("http://продеталь.рф/search.html?article=MD560161","MD560161")</f>
        <v>MD560161</v>
      </c>
      <c r="D3423" t="s">
        <v>9</v>
      </c>
    </row>
    <row r="3424" spans="1:4" outlineLevel="1" x14ac:dyDescent="0.25">
      <c r="A3424" t="s">
        <v>461</v>
      </c>
      <c r="B3424" t="s">
        <v>66</v>
      </c>
      <c r="C3424" s="1" t="str">
        <f>HYPERLINK("http://продеталь.рф/search.html?article=BK031","BK031")</f>
        <v>BK031</v>
      </c>
      <c r="D3424" t="s">
        <v>6</v>
      </c>
    </row>
    <row r="3425" spans="1:4" outlineLevel="1" x14ac:dyDescent="0.25">
      <c r="A3425" t="s">
        <v>461</v>
      </c>
      <c r="B3425" t="s">
        <v>60</v>
      </c>
      <c r="C3425" s="1" t="str">
        <f>HYPERLINK("http://продеталь.рф/search.html?article=MD56087M0","MD56087M0")</f>
        <v>MD56087M0</v>
      </c>
      <c r="D3425" t="s">
        <v>9</v>
      </c>
    </row>
    <row r="3426" spans="1:4" outlineLevel="1" x14ac:dyDescent="0.25">
      <c r="A3426" t="s">
        <v>461</v>
      </c>
      <c r="B3426" t="s">
        <v>26</v>
      </c>
      <c r="C3426" s="1" t="str">
        <f>HYPERLINK("http://продеталь.рф/search.html?article=MD56000PL1","MD56000PL1")</f>
        <v>MD56000PL1</v>
      </c>
      <c r="D3426" t="s">
        <v>9</v>
      </c>
    </row>
    <row r="3427" spans="1:4" outlineLevel="1" x14ac:dyDescent="0.25">
      <c r="A3427" t="s">
        <v>461</v>
      </c>
      <c r="B3427" t="s">
        <v>27</v>
      </c>
      <c r="C3427" s="1" t="str">
        <f>HYPERLINK("http://продеталь.рф/search.html?article=MD56009U0","MD56009U0")</f>
        <v>MD56009U0</v>
      </c>
      <c r="D3427" t="s">
        <v>9</v>
      </c>
    </row>
    <row r="3428" spans="1:4" outlineLevel="1" x14ac:dyDescent="0.25">
      <c r="A3428" t="s">
        <v>461</v>
      </c>
      <c r="B3428" t="s">
        <v>27</v>
      </c>
      <c r="C3428" s="1" t="str">
        <f>HYPERLINK("http://продеталь.рф/search.html?article=UMI0139503","UMI0139503")</f>
        <v>UMI0139503</v>
      </c>
      <c r="D3428" t="s">
        <v>2</v>
      </c>
    </row>
    <row r="3429" spans="1:4" outlineLevel="1" x14ac:dyDescent="0.25">
      <c r="A3429" t="s">
        <v>461</v>
      </c>
      <c r="B3429" t="s">
        <v>463</v>
      </c>
      <c r="C3429" s="1" t="str">
        <f>HYPERLINK("http://продеталь.рф/search.html?article=1D9007095131","1D9007095131")</f>
        <v>1D9007095131</v>
      </c>
      <c r="D3429" t="s">
        <v>43</v>
      </c>
    </row>
    <row r="3430" spans="1:4" outlineLevel="1" x14ac:dyDescent="0.25">
      <c r="A3430" t="s">
        <v>461</v>
      </c>
      <c r="B3430" t="s">
        <v>52</v>
      </c>
      <c r="C3430" s="1" t="str">
        <f>HYPERLINK("http://продеталь.рф/search.html?article=RG1498","RG1498")</f>
        <v>RG1498</v>
      </c>
      <c r="D3430" t="s">
        <v>53</v>
      </c>
    </row>
    <row r="3431" spans="1:4" outlineLevel="1" x14ac:dyDescent="0.25">
      <c r="A3431" t="s">
        <v>461</v>
      </c>
      <c r="B3431" t="s">
        <v>52</v>
      </c>
      <c r="C3431" s="1" t="str">
        <f>HYPERLINK("http://продеталь.рф/search.html?article=RG757","RG757")</f>
        <v>RG757</v>
      </c>
      <c r="D3431" t="s">
        <v>53</v>
      </c>
    </row>
    <row r="3432" spans="1:4" outlineLevel="1" x14ac:dyDescent="0.25">
      <c r="A3432" t="s">
        <v>461</v>
      </c>
      <c r="B3432" t="s">
        <v>19</v>
      </c>
      <c r="C3432" s="1" t="str">
        <f>HYPERLINK("http://продеталь.рф/search.html?article=190184052","190184052")</f>
        <v>190184052</v>
      </c>
      <c r="D3432" t="s">
        <v>4</v>
      </c>
    </row>
    <row r="3433" spans="1:4" outlineLevel="1" x14ac:dyDescent="0.25">
      <c r="A3433" t="s">
        <v>461</v>
      </c>
      <c r="B3433" t="s">
        <v>19</v>
      </c>
      <c r="C3433" s="1" t="str">
        <f>HYPERLINK("http://продеталь.рф/search.html?article=190183052","190183052")</f>
        <v>190183052</v>
      </c>
      <c r="D3433" t="s">
        <v>4</v>
      </c>
    </row>
    <row r="3434" spans="1:4" outlineLevel="1" x14ac:dyDescent="0.25">
      <c r="A3434" t="s">
        <v>461</v>
      </c>
      <c r="B3434" t="s">
        <v>19</v>
      </c>
      <c r="C3434" s="1" t="str">
        <f>HYPERLINK("http://продеталь.рф/search.html?article=ZBZ2001R","ZBZ2001R")</f>
        <v>ZBZ2001R</v>
      </c>
      <c r="D3434" t="s">
        <v>6</v>
      </c>
    </row>
    <row r="3435" spans="1:4" outlineLevel="1" x14ac:dyDescent="0.25">
      <c r="A3435" t="s">
        <v>461</v>
      </c>
      <c r="B3435" t="s">
        <v>19</v>
      </c>
      <c r="C3435" s="1" t="str">
        <f>HYPERLINK("http://продеталь.рф/search.html?article=190182059","190182059")</f>
        <v>190182059</v>
      </c>
      <c r="D3435" t="s">
        <v>4</v>
      </c>
    </row>
    <row r="3436" spans="1:4" outlineLevel="1" x14ac:dyDescent="0.25">
      <c r="A3436" t="s">
        <v>461</v>
      </c>
      <c r="B3436" t="s">
        <v>19</v>
      </c>
      <c r="C3436" s="1" t="str">
        <f>HYPERLINK("http://продеталь.рф/search.html?article=190181059","190181059")</f>
        <v>190181059</v>
      </c>
      <c r="D3436" t="s">
        <v>4</v>
      </c>
    </row>
    <row r="3437" spans="1:4" outlineLevel="1" x14ac:dyDescent="0.25">
      <c r="A3437" t="s">
        <v>461</v>
      </c>
      <c r="B3437" t="s">
        <v>39</v>
      </c>
      <c r="C3437" s="1" t="str">
        <f>HYPERLINK("http://продеталь.рф/search.html?article=AFME107","AFME107")</f>
        <v>AFME107</v>
      </c>
      <c r="D3437" t="s">
        <v>6</v>
      </c>
    </row>
    <row r="3438" spans="1:4" outlineLevel="1" x14ac:dyDescent="0.25">
      <c r="A3438" t="s">
        <v>461</v>
      </c>
      <c r="B3438" t="s">
        <v>39</v>
      </c>
      <c r="C3438" s="1" t="str">
        <f>HYPERLINK("http://продеталь.рф/search.html?article=AFME108","AFME108")</f>
        <v>AFME108</v>
      </c>
      <c r="D3438" t="s">
        <v>6</v>
      </c>
    </row>
    <row r="3439" spans="1:4" outlineLevel="1" x14ac:dyDescent="0.25">
      <c r="A3439" t="s">
        <v>461</v>
      </c>
      <c r="B3439" t="s">
        <v>39</v>
      </c>
      <c r="C3439" s="1" t="str">
        <f>HYPERLINK("http://продеталь.рф/search.html?article=AFME109","AFME109")</f>
        <v>AFME109</v>
      </c>
      <c r="D3439" t="s">
        <v>6</v>
      </c>
    </row>
    <row r="3440" spans="1:4" outlineLevel="1" x14ac:dyDescent="0.25">
      <c r="A3440" t="s">
        <v>461</v>
      </c>
      <c r="B3440" t="s">
        <v>40</v>
      </c>
      <c r="C3440" s="1" t="str">
        <f>HYPERLINK("http://продеталь.рф/search.html?article=MD56000G2","MD56000G2")</f>
        <v>MD56000G2</v>
      </c>
      <c r="D3440" t="s">
        <v>9</v>
      </c>
    </row>
    <row r="3441" spans="1:4" outlineLevel="1" x14ac:dyDescent="0.25">
      <c r="A3441" t="s">
        <v>461</v>
      </c>
      <c r="B3441" t="s">
        <v>40</v>
      </c>
      <c r="C3441" s="1" t="str">
        <f>HYPERLINK("http://продеталь.рф/search.html?article=MD56000G0","MD56000G0")</f>
        <v>MD56000G0</v>
      </c>
      <c r="D3441" t="s">
        <v>9</v>
      </c>
    </row>
    <row r="3442" spans="1:4" outlineLevel="1" x14ac:dyDescent="0.25">
      <c r="A3442" t="s">
        <v>461</v>
      </c>
      <c r="B3442" t="s">
        <v>12</v>
      </c>
      <c r="C3442" s="1" t="str">
        <f>HYPERLINK("http://продеталь.рф/search.html?article=BZ07008GA","BZ07008GA")</f>
        <v>BZ07008GA</v>
      </c>
      <c r="D3442" t="s">
        <v>2</v>
      </c>
    </row>
    <row r="3443" spans="1:4" outlineLevel="1" x14ac:dyDescent="0.25">
      <c r="A3443" t="s">
        <v>461</v>
      </c>
      <c r="B3443" t="s">
        <v>12</v>
      </c>
      <c r="C3443" s="1" t="str">
        <f>HYPERLINK("http://продеталь.рф/search.html?article=MD56009308000","MD56009308000")</f>
        <v>MD56009308000</v>
      </c>
      <c r="D3443" t="s">
        <v>9</v>
      </c>
    </row>
    <row r="3444" spans="1:4" outlineLevel="1" x14ac:dyDescent="0.25">
      <c r="A3444" t="s">
        <v>461</v>
      </c>
      <c r="B3444" t="s">
        <v>12</v>
      </c>
      <c r="C3444" s="1" t="str">
        <f>HYPERLINK("http://продеталь.рф/search.html?article=221250","221250")</f>
        <v>221250</v>
      </c>
      <c r="D3444" t="s">
        <v>61</v>
      </c>
    </row>
    <row r="3445" spans="1:4" outlineLevel="1" x14ac:dyDescent="0.25">
      <c r="A3445" t="s">
        <v>461</v>
      </c>
      <c r="B3445" t="s">
        <v>13</v>
      </c>
      <c r="C3445" s="1" t="str">
        <f>HYPERLINK("http://продеталь.рф/search.html?article=BZ44003A","BZ44003A")</f>
        <v>BZ44003A</v>
      </c>
      <c r="D3445" t="s">
        <v>2</v>
      </c>
    </row>
    <row r="3446" spans="1:4" outlineLevel="1" x14ac:dyDescent="0.25">
      <c r="A3446" t="s">
        <v>461</v>
      </c>
      <c r="B3446" t="s">
        <v>252</v>
      </c>
      <c r="C3446" s="1" t="str">
        <f>HYPERLINK("http://продеталь.рф/search.html?article=MD560130","MD560130")</f>
        <v>MD560130</v>
      </c>
      <c r="D3446" t="s">
        <v>9</v>
      </c>
    </row>
    <row r="3447" spans="1:4" outlineLevel="1" x14ac:dyDescent="0.25">
      <c r="A3447" t="s">
        <v>461</v>
      </c>
      <c r="B3447" t="s">
        <v>252</v>
      </c>
      <c r="C3447" s="1" t="str">
        <f>HYPERLINK("http://продеталь.рф/search.html?article=BZ05002VA","BZ05002VA")</f>
        <v>BZ05002VA</v>
      </c>
      <c r="D3447" t="s">
        <v>2</v>
      </c>
    </row>
    <row r="3448" spans="1:4" outlineLevel="1" x14ac:dyDescent="0.25">
      <c r="A3448" t="s">
        <v>461</v>
      </c>
      <c r="B3448" t="s">
        <v>119</v>
      </c>
      <c r="C3448" s="1" t="str">
        <f>HYPERLINK("http://продеталь.рф/search.html?article=MD56000ML1","MD56000ML1")</f>
        <v>MD56000ML1</v>
      </c>
      <c r="D3448" t="s">
        <v>9</v>
      </c>
    </row>
    <row r="3449" spans="1:4" outlineLevel="1" x14ac:dyDescent="0.25">
      <c r="A3449" t="s">
        <v>461</v>
      </c>
      <c r="B3449" t="s">
        <v>119</v>
      </c>
      <c r="C3449" s="1" t="str">
        <f>HYPERLINK("http://продеталь.рф/search.html?article=MD56000ML2","MD56000ML2")</f>
        <v>MD56000ML2</v>
      </c>
      <c r="D3449" t="s">
        <v>9</v>
      </c>
    </row>
    <row r="3450" spans="1:4" outlineLevel="1" x14ac:dyDescent="0.25">
      <c r="A3450" t="s">
        <v>461</v>
      </c>
      <c r="B3450" t="s">
        <v>119</v>
      </c>
      <c r="C3450" s="1" t="str">
        <f>HYPERLINK("http://продеталь.рф/search.html?article=BZ04042MAL","BZ04042MAL")</f>
        <v>BZ04042MAL</v>
      </c>
      <c r="D3450" t="s">
        <v>2</v>
      </c>
    </row>
    <row r="3451" spans="1:4" outlineLevel="1" x14ac:dyDescent="0.25">
      <c r="A3451" t="s">
        <v>461</v>
      </c>
      <c r="B3451" t="s">
        <v>90</v>
      </c>
      <c r="C3451" s="1" t="str">
        <f>HYPERLINK("http://продеталь.рф/search.html?article=185511PAG","185511PAG")</f>
        <v>185511PAG</v>
      </c>
      <c r="D3451" t="s">
        <v>4</v>
      </c>
    </row>
    <row r="3452" spans="1:4" x14ac:dyDescent="0.25">
      <c r="A3452" t="s">
        <v>464</v>
      </c>
      <c r="B3452" s="2" t="s">
        <v>464</v>
      </c>
      <c r="C3452" s="2"/>
      <c r="D3452" s="2"/>
    </row>
    <row r="3453" spans="1:4" outlineLevel="1" x14ac:dyDescent="0.25">
      <c r="A3453" t="s">
        <v>464</v>
      </c>
      <c r="B3453" t="s">
        <v>11</v>
      </c>
      <c r="C3453" s="1" t="str">
        <f>HYPERLINK("http://продеталь.рф/search.html?article=ME22","ME22")</f>
        <v>ME22</v>
      </c>
      <c r="D3453" t="s">
        <v>18</v>
      </c>
    </row>
    <row r="3454" spans="1:4" outlineLevel="1" x14ac:dyDescent="0.25">
      <c r="A3454" t="s">
        <v>464</v>
      </c>
      <c r="B3454" t="s">
        <v>11</v>
      </c>
      <c r="C3454" s="1" t="str">
        <f>HYPERLINK("http://продеталь.рф/search.html?article=MD57000008000","MD57000008000")</f>
        <v>MD57000008000</v>
      </c>
      <c r="D3454" t="s">
        <v>9</v>
      </c>
    </row>
    <row r="3455" spans="1:4" outlineLevel="1" x14ac:dyDescent="0.25">
      <c r="A3455" t="s">
        <v>464</v>
      </c>
      <c r="B3455" t="s">
        <v>59</v>
      </c>
      <c r="C3455" s="1" t="str">
        <f>HYPERLINK("http://продеталь.рф/search.html?article=BZ04029LA","BZ04029LA")</f>
        <v>BZ04029LA</v>
      </c>
      <c r="D3455" t="s">
        <v>2</v>
      </c>
    </row>
    <row r="3456" spans="1:4" outlineLevel="1" x14ac:dyDescent="0.25">
      <c r="A3456" t="s">
        <v>464</v>
      </c>
      <c r="B3456" t="s">
        <v>83</v>
      </c>
      <c r="C3456" s="1" t="str">
        <f>HYPERLINK("http://продеталь.рф/search.html?article=BZ99035CAR","BZ99035CAR")</f>
        <v>BZ99035CAR</v>
      </c>
      <c r="D3456" t="s">
        <v>2</v>
      </c>
    </row>
    <row r="3457" spans="1:4" outlineLevel="1" x14ac:dyDescent="0.25">
      <c r="A3457" t="s">
        <v>464</v>
      </c>
      <c r="B3457" t="s">
        <v>101</v>
      </c>
      <c r="C3457" s="1" t="str">
        <f>HYPERLINK("http://продеталь.рф/search.html?article=BZ99024CA","BZ99024CA")</f>
        <v>BZ99024CA</v>
      </c>
      <c r="D3457" t="s">
        <v>2</v>
      </c>
    </row>
    <row r="3458" spans="1:4" outlineLevel="1" x14ac:dyDescent="0.25">
      <c r="A3458" t="s">
        <v>464</v>
      </c>
      <c r="B3458" t="s">
        <v>84</v>
      </c>
      <c r="C3458" s="1" t="str">
        <f>HYPERLINK("http://продеталь.рф/search.html?article=BZ43009AL","BZ43009AL")</f>
        <v>BZ43009AL</v>
      </c>
      <c r="D3458" t="s">
        <v>2</v>
      </c>
    </row>
    <row r="3459" spans="1:4" outlineLevel="1" x14ac:dyDescent="0.25">
      <c r="A3459" t="s">
        <v>464</v>
      </c>
      <c r="B3459" t="s">
        <v>84</v>
      </c>
      <c r="C3459" s="1" t="str">
        <f>HYPERLINK("http://продеталь.рф/search.html?article=BZ43009AR","BZ43009AR")</f>
        <v>BZ43009AR</v>
      </c>
      <c r="D3459" t="s">
        <v>2</v>
      </c>
    </row>
    <row r="3460" spans="1:4" outlineLevel="1" x14ac:dyDescent="0.25">
      <c r="A3460" t="s">
        <v>464</v>
      </c>
      <c r="B3460" t="s">
        <v>240</v>
      </c>
      <c r="C3460" s="1" t="str">
        <f>HYPERLINK("http://продеталь.рф/search.html?article=3210064","3210064")</f>
        <v>3210064</v>
      </c>
      <c r="D3460" t="s">
        <v>4</v>
      </c>
    </row>
    <row r="3461" spans="1:4" outlineLevel="1" x14ac:dyDescent="0.25">
      <c r="A3461" t="s">
        <v>464</v>
      </c>
      <c r="B3461" t="s">
        <v>240</v>
      </c>
      <c r="C3461" s="1" t="str">
        <f>HYPERLINK("http://продеталь.рф/search.html?article=3210063","3210063")</f>
        <v>3210063</v>
      </c>
      <c r="D3461" t="s">
        <v>4</v>
      </c>
    </row>
    <row r="3462" spans="1:4" outlineLevel="1" x14ac:dyDescent="0.25">
      <c r="A3462" t="s">
        <v>464</v>
      </c>
      <c r="B3462" t="s">
        <v>26</v>
      </c>
      <c r="C3462" s="1" t="str">
        <f>HYPERLINK("http://продеталь.рф/search.html?article=BZ04029MAL","BZ04029MAL")</f>
        <v>BZ04029MAL</v>
      </c>
      <c r="D3462" t="s">
        <v>2</v>
      </c>
    </row>
    <row r="3463" spans="1:4" outlineLevel="1" x14ac:dyDescent="0.25">
      <c r="A3463" t="s">
        <v>464</v>
      </c>
      <c r="B3463" t="s">
        <v>26</v>
      </c>
      <c r="C3463" s="1" t="str">
        <f>HYPERLINK("http://продеталь.рф/search.html?article=PBZ04030MAL","PBZ04030MAL")</f>
        <v>PBZ04030MAL</v>
      </c>
      <c r="D3463" t="s">
        <v>6</v>
      </c>
    </row>
    <row r="3464" spans="1:4" outlineLevel="1" x14ac:dyDescent="0.25">
      <c r="A3464" t="s">
        <v>464</v>
      </c>
      <c r="B3464" t="s">
        <v>26</v>
      </c>
      <c r="C3464" s="1" t="str">
        <f>HYPERLINK("http://продеталь.рф/search.html?article=PBZ04030MAR","PBZ04030MAR")</f>
        <v>PBZ04030MAR</v>
      </c>
      <c r="D3464" t="s">
        <v>6</v>
      </c>
    </row>
    <row r="3465" spans="1:4" outlineLevel="1" x14ac:dyDescent="0.25">
      <c r="A3465" t="s">
        <v>464</v>
      </c>
      <c r="B3465" t="s">
        <v>27</v>
      </c>
      <c r="C3465" s="1" t="str">
        <f>HYPERLINK("http://продеталь.рф/search.html?article=PBZ30015AL","PBZ30015AL")</f>
        <v>PBZ30015AL</v>
      </c>
      <c r="D3465" t="s">
        <v>6</v>
      </c>
    </row>
    <row r="3466" spans="1:4" outlineLevel="1" x14ac:dyDescent="0.25">
      <c r="A3466" t="s">
        <v>464</v>
      </c>
      <c r="B3466" t="s">
        <v>27</v>
      </c>
      <c r="C3466" s="1" t="str">
        <f>HYPERLINK("http://продеталь.рф/search.html?article=PBZ30015AU","PBZ30015AU")</f>
        <v>PBZ30015AU</v>
      </c>
      <c r="D3466" t="s">
        <v>6</v>
      </c>
    </row>
    <row r="3467" spans="1:4" outlineLevel="1" x14ac:dyDescent="0.25">
      <c r="A3467" t="s">
        <v>464</v>
      </c>
      <c r="B3467" t="s">
        <v>27</v>
      </c>
      <c r="C3467" s="1" t="str">
        <f>HYPERLINK("http://продеталь.рф/search.html?article=MD570009U0R00","MD570009U0R00")</f>
        <v>MD570009U0R00</v>
      </c>
      <c r="D3467" t="s">
        <v>9</v>
      </c>
    </row>
    <row r="3468" spans="1:4" outlineLevel="1" x14ac:dyDescent="0.25">
      <c r="A3468" t="s">
        <v>464</v>
      </c>
      <c r="B3468" t="s">
        <v>3</v>
      </c>
      <c r="C3468" s="1" t="str">
        <f>HYPERLINK("http://продеталь.рф/search.html?article=200626052","200626052")</f>
        <v>200626052</v>
      </c>
      <c r="D3468" t="s">
        <v>4</v>
      </c>
    </row>
    <row r="3469" spans="1:4" outlineLevel="1" x14ac:dyDescent="0.25">
      <c r="A3469" t="s">
        <v>464</v>
      </c>
      <c r="B3469" t="s">
        <v>256</v>
      </c>
      <c r="C3469" s="1" t="str">
        <f>HYPERLINK("http://продеталь.рф/search.html?article=VBZM1023CPL","VBZM1023CPL")</f>
        <v>VBZM1023CPL</v>
      </c>
      <c r="D3469" t="s">
        <v>6</v>
      </c>
    </row>
    <row r="3470" spans="1:4" outlineLevel="1" x14ac:dyDescent="0.25">
      <c r="A3470" t="s">
        <v>464</v>
      </c>
      <c r="B3470" t="s">
        <v>256</v>
      </c>
      <c r="C3470" s="1" t="str">
        <f>HYPERLINK("http://продеталь.рф/search.html?article=VBZM1023CPR","VBZM1023CPR")</f>
        <v>VBZM1023CPR</v>
      </c>
      <c r="D3470" t="s">
        <v>6</v>
      </c>
    </row>
    <row r="3471" spans="1:4" outlineLevel="1" x14ac:dyDescent="0.25">
      <c r="A3471" t="s">
        <v>464</v>
      </c>
      <c r="B3471" t="s">
        <v>5</v>
      </c>
      <c r="C3471" s="1" t="str">
        <f>HYPERLINK("http://продеталь.рф/search.html?article=MD57016LA1","MD57016LA1")</f>
        <v>MD57016LA1</v>
      </c>
      <c r="D3471" t="s">
        <v>9</v>
      </c>
    </row>
    <row r="3472" spans="1:4" outlineLevel="1" x14ac:dyDescent="0.25">
      <c r="A3472" t="s">
        <v>464</v>
      </c>
      <c r="B3472" t="s">
        <v>5</v>
      </c>
      <c r="C3472" s="1" t="str">
        <f>HYPERLINK("http://продеталь.рф/search.html?article=PBZ11035BL","PBZ11035BL")</f>
        <v>PBZ11035BL</v>
      </c>
      <c r="D3472" t="s">
        <v>6</v>
      </c>
    </row>
    <row r="3473" spans="1:4" outlineLevel="1" x14ac:dyDescent="0.25">
      <c r="A3473" t="s">
        <v>464</v>
      </c>
      <c r="B3473" t="s">
        <v>5</v>
      </c>
      <c r="C3473" s="1" t="str">
        <f>HYPERLINK("http://продеталь.рф/search.html?article=MD57016L2","MD57016L2")</f>
        <v>MD57016L2</v>
      </c>
      <c r="D3473" t="s">
        <v>9</v>
      </c>
    </row>
    <row r="3474" spans="1:4" outlineLevel="1" x14ac:dyDescent="0.25">
      <c r="A3474" t="s">
        <v>464</v>
      </c>
      <c r="B3474" t="s">
        <v>5</v>
      </c>
      <c r="C3474" s="1" t="str">
        <f>HYPERLINK("http://продеталь.рф/search.html?article=MD57016L1","MD57016L1")</f>
        <v>MD57016L1</v>
      </c>
      <c r="D3474" t="s">
        <v>9</v>
      </c>
    </row>
    <row r="3475" spans="1:4" outlineLevel="1" x14ac:dyDescent="0.25">
      <c r="A3475" t="s">
        <v>464</v>
      </c>
      <c r="B3475" t="s">
        <v>5</v>
      </c>
      <c r="C3475" s="1" t="str">
        <f>HYPERLINK("http://продеталь.рф/search.html?article=BZ11055AL","BZ11055AL")</f>
        <v>BZ11055AL</v>
      </c>
      <c r="D3475" t="s">
        <v>2</v>
      </c>
    </row>
    <row r="3476" spans="1:4" outlineLevel="1" x14ac:dyDescent="0.25">
      <c r="A3476" t="s">
        <v>464</v>
      </c>
      <c r="B3476" t="s">
        <v>19</v>
      </c>
      <c r="C3476" s="1" t="str">
        <f>HYPERLINK("http://продеталь.рф/search.html?article=190450019","190450019")</f>
        <v>190450019</v>
      </c>
      <c r="D3476" t="s">
        <v>4</v>
      </c>
    </row>
    <row r="3477" spans="1:4" outlineLevel="1" x14ac:dyDescent="0.25">
      <c r="A3477" t="s">
        <v>464</v>
      </c>
      <c r="B3477" t="s">
        <v>19</v>
      </c>
      <c r="C3477" s="1" t="str">
        <f>HYPERLINK("http://продеталь.рф/search.html?article=190449019","190449019")</f>
        <v>190449019</v>
      </c>
      <c r="D3477" t="s">
        <v>4</v>
      </c>
    </row>
    <row r="3478" spans="1:4" outlineLevel="1" x14ac:dyDescent="0.25">
      <c r="A3478" t="s">
        <v>464</v>
      </c>
      <c r="B3478" t="s">
        <v>30</v>
      </c>
      <c r="C3478" s="1" t="str">
        <f>HYPERLINK("http://продеталь.рф/search.html?article=PBZ99027CBL","PBZ99027CBL")</f>
        <v>PBZ99027CBL</v>
      </c>
      <c r="D3478" t="s">
        <v>6</v>
      </c>
    </row>
    <row r="3479" spans="1:4" outlineLevel="1" x14ac:dyDescent="0.25">
      <c r="A3479" t="s">
        <v>464</v>
      </c>
      <c r="B3479" t="s">
        <v>30</v>
      </c>
      <c r="C3479" s="1" t="str">
        <f>HYPERLINK("http://продеталь.рф/search.html?article=PBZ99027CBR","PBZ99027CBR")</f>
        <v>PBZ99027CBR</v>
      </c>
      <c r="D3479" t="s">
        <v>6</v>
      </c>
    </row>
    <row r="3480" spans="1:4" outlineLevel="1" x14ac:dyDescent="0.25">
      <c r="A3480" t="s">
        <v>464</v>
      </c>
      <c r="B3480" t="s">
        <v>40</v>
      </c>
      <c r="C3480" s="1" t="str">
        <f>HYPERLINK("http://продеталь.рф/search.html?article=MD57000G2","MD57000G2")</f>
        <v>MD57000G2</v>
      </c>
      <c r="D3480" t="s">
        <v>9</v>
      </c>
    </row>
    <row r="3481" spans="1:4" outlineLevel="1" x14ac:dyDescent="0.25">
      <c r="A3481" t="s">
        <v>464</v>
      </c>
      <c r="B3481" t="s">
        <v>40</v>
      </c>
      <c r="C3481" s="1" t="str">
        <f>HYPERLINK("http://продеталь.рф/search.html?article=MD57000G1","MD57000G1")</f>
        <v>MD57000G1</v>
      </c>
      <c r="D3481" t="s">
        <v>9</v>
      </c>
    </row>
    <row r="3482" spans="1:4" outlineLevel="1" x14ac:dyDescent="0.25">
      <c r="A3482" t="s">
        <v>464</v>
      </c>
      <c r="B3482" t="s">
        <v>40</v>
      </c>
      <c r="C3482" s="1" t="str">
        <f>HYPERLINK("http://продеталь.рф/search.html?article=GD4634N","GD4634N")</f>
        <v>GD4634N</v>
      </c>
      <c r="D3482" t="s">
        <v>36</v>
      </c>
    </row>
    <row r="3483" spans="1:4" outlineLevel="1" x14ac:dyDescent="0.25">
      <c r="A3483" t="s">
        <v>464</v>
      </c>
      <c r="B3483" t="s">
        <v>12</v>
      </c>
      <c r="C3483" s="1" t="str">
        <f>HYPERLINK("http://продеталь.рф/search.html?article=MD570930","MD570930")</f>
        <v>MD570930</v>
      </c>
      <c r="D3483" t="s">
        <v>9</v>
      </c>
    </row>
    <row r="3484" spans="1:4" outlineLevel="1" x14ac:dyDescent="0.25">
      <c r="A3484" t="s">
        <v>464</v>
      </c>
      <c r="B3484" t="s">
        <v>12</v>
      </c>
      <c r="C3484" s="1" t="str">
        <f>HYPERLINK("http://продеталь.рф/search.html?article=BZ07058GC","BZ07058GC")</f>
        <v>BZ07058GC</v>
      </c>
      <c r="D3484" t="s">
        <v>2</v>
      </c>
    </row>
    <row r="3485" spans="1:4" outlineLevel="1" x14ac:dyDescent="0.25">
      <c r="A3485" t="s">
        <v>464</v>
      </c>
      <c r="B3485" t="s">
        <v>12</v>
      </c>
      <c r="C3485" s="1" t="str">
        <f>HYPERLINK("http://продеталь.рф/search.html?article=BZ07058GB","BZ07058GB")</f>
        <v>BZ07058GB</v>
      </c>
      <c r="D3485" t="s">
        <v>2</v>
      </c>
    </row>
    <row r="3486" spans="1:4" outlineLevel="1" x14ac:dyDescent="0.25">
      <c r="A3486" t="s">
        <v>464</v>
      </c>
      <c r="B3486" t="s">
        <v>32</v>
      </c>
      <c r="C3486" s="1" t="str">
        <f>HYPERLINK("http://продеталь.рф/search.html?article=BZM1023CGRE","BZM1023CGRE")</f>
        <v>BZM1023CGRE</v>
      </c>
      <c r="D3486" t="s">
        <v>2</v>
      </c>
    </row>
    <row r="3487" spans="1:4" outlineLevel="1" x14ac:dyDescent="0.25">
      <c r="A3487" t="s">
        <v>464</v>
      </c>
      <c r="B3487" t="s">
        <v>457</v>
      </c>
      <c r="C3487" s="1" t="str">
        <f>HYPERLINK("http://продеталь.рф/search.html?article=15A193009B","15A193009B")</f>
        <v>15A193009B</v>
      </c>
      <c r="D3487" t="s">
        <v>4</v>
      </c>
    </row>
    <row r="3488" spans="1:4" outlineLevel="1" x14ac:dyDescent="0.25">
      <c r="A3488" t="s">
        <v>464</v>
      </c>
      <c r="B3488" t="s">
        <v>465</v>
      </c>
      <c r="C3488" s="1" t="str">
        <f>HYPERLINK("http://продеталь.рф/search.html?article=BZ04058MAL","BZ04058MAL")</f>
        <v>BZ04058MAL</v>
      </c>
      <c r="D3488" t="s">
        <v>2</v>
      </c>
    </row>
    <row r="3489" spans="1:4" outlineLevel="1" x14ac:dyDescent="0.25">
      <c r="A3489" t="s">
        <v>464</v>
      </c>
      <c r="B3489" t="s">
        <v>465</v>
      </c>
      <c r="C3489" s="1" t="str">
        <f>HYPERLINK("http://продеталь.рф/search.html?article=BZ04058MAR","BZ04058MAR")</f>
        <v>BZ04058MAR</v>
      </c>
      <c r="D3489" t="s">
        <v>2</v>
      </c>
    </row>
    <row r="3490" spans="1:4" x14ac:dyDescent="0.25">
      <c r="A3490" t="s">
        <v>466</v>
      </c>
      <c r="B3490" s="2" t="s">
        <v>466</v>
      </c>
      <c r="C3490" s="2"/>
      <c r="D3490" s="2"/>
    </row>
    <row r="3491" spans="1:4" outlineLevel="1" x14ac:dyDescent="0.25">
      <c r="A3491" t="s">
        <v>466</v>
      </c>
      <c r="B3491" t="s">
        <v>40</v>
      </c>
      <c r="C3491" s="1" t="str">
        <f>HYPERLINK("http://продеталь.рф/search.html?article=PBZ99074GA","PBZ99074GA")</f>
        <v>PBZ99074GA</v>
      </c>
      <c r="D3491" t="s">
        <v>6</v>
      </c>
    </row>
    <row r="3492" spans="1:4" outlineLevel="1" x14ac:dyDescent="0.25">
      <c r="A3492" t="s">
        <v>466</v>
      </c>
      <c r="B3492" t="s">
        <v>40</v>
      </c>
      <c r="C3492" s="1" t="str">
        <f>HYPERLINK("http://продеталь.рф/search.html?article=PBZ99069GAR","PBZ99069GAR")</f>
        <v>PBZ99069GAR</v>
      </c>
      <c r="D3492" t="s">
        <v>6</v>
      </c>
    </row>
    <row r="3493" spans="1:4" outlineLevel="1" x14ac:dyDescent="0.25">
      <c r="A3493" t="s">
        <v>466</v>
      </c>
      <c r="B3493" t="s">
        <v>40</v>
      </c>
      <c r="C3493" s="1" t="str">
        <f>HYPERLINK("http://продеталь.рф/search.html?article=BZ07087GAC","BZ07087GAC")</f>
        <v>BZ07087GAC</v>
      </c>
      <c r="D3493" t="s">
        <v>2</v>
      </c>
    </row>
    <row r="3494" spans="1:4" outlineLevel="1" x14ac:dyDescent="0.25">
      <c r="A3494" t="s">
        <v>466</v>
      </c>
      <c r="B3494" t="s">
        <v>13</v>
      </c>
      <c r="C3494" s="1" t="str">
        <f>HYPERLINK("http://продеталь.рф/search.html?article=MD571000U1R00","MD571000U1R00")</f>
        <v>MD571000U1R00</v>
      </c>
      <c r="D3494" t="s">
        <v>9</v>
      </c>
    </row>
    <row r="3495" spans="1:4" x14ac:dyDescent="0.25">
      <c r="A3495" t="s">
        <v>467</v>
      </c>
      <c r="B3495" s="2" t="s">
        <v>467</v>
      </c>
      <c r="C3495" s="2"/>
      <c r="D3495" s="2"/>
    </row>
    <row r="3496" spans="1:4" outlineLevel="1" x14ac:dyDescent="0.25">
      <c r="A3496" t="s">
        <v>467</v>
      </c>
      <c r="B3496" t="s">
        <v>11</v>
      </c>
      <c r="C3496" s="1" t="str">
        <f>HYPERLINK("http://продеталь.рф/search.html?article=BZ04013BA","BZ04013BA")</f>
        <v>BZ04013BA</v>
      </c>
      <c r="D3496" t="s">
        <v>2</v>
      </c>
    </row>
    <row r="3497" spans="1:4" outlineLevel="1" x14ac:dyDescent="0.25">
      <c r="A3497" t="s">
        <v>467</v>
      </c>
      <c r="B3497" t="s">
        <v>15</v>
      </c>
      <c r="C3497" s="1" t="str">
        <f>HYPERLINK("http://продеталь.рф/search.html?article=VBZM1014ER","VBZM1014ER")</f>
        <v>VBZM1014ER</v>
      </c>
      <c r="D3497" t="s">
        <v>6</v>
      </c>
    </row>
    <row r="3498" spans="1:4" outlineLevel="1" x14ac:dyDescent="0.25">
      <c r="A3498" t="s">
        <v>467</v>
      </c>
      <c r="B3498" t="s">
        <v>24</v>
      </c>
      <c r="C3498" s="1" t="str">
        <f>HYPERLINK("http://продеталь.рф/search.html?article=BZ10000AL","BZ10000AL")</f>
        <v>BZ10000AL</v>
      </c>
      <c r="D3498" t="s">
        <v>2</v>
      </c>
    </row>
    <row r="3499" spans="1:4" outlineLevel="1" x14ac:dyDescent="0.25">
      <c r="A3499" t="s">
        <v>467</v>
      </c>
      <c r="B3499" t="s">
        <v>24</v>
      </c>
      <c r="C3499" s="1" t="str">
        <f>HYPERLINK("http://продеталь.рф/search.html?article=MD65016B1","MD65016B1")</f>
        <v>MD65016B1</v>
      </c>
      <c r="D3499" t="s">
        <v>9</v>
      </c>
    </row>
    <row r="3500" spans="1:4" outlineLevel="1" x14ac:dyDescent="0.25">
      <c r="A3500" t="s">
        <v>467</v>
      </c>
      <c r="B3500" t="s">
        <v>50</v>
      </c>
      <c r="C3500" s="1" t="str">
        <f>HYPERLINK("http://продеталь.рф/search.html?article=PBZ07051HAL","PBZ07051HAL")</f>
        <v>PBZ07051HAL</v>
      </c>
      <c r="D3500" t="s">
        <v>6</v>
      </c>
    </row>
    <row r="3501" spans="1:4" outlineLevel="1" x14ac:dyDescent="0.25">
      <c r="A3501" t="s">
        <v>467</v>
      </c>
      <c r="B3501" t="s">
        <v>50</v>
      </c>
      <c r="C3501" s="1" t="str">
        <f>HYPERLINK("http://продеталь.рф/search.html?article=PBZ07051HAR","PBZ07051HAR")</f>
        <v>PBZ07051HAR</v>
      </c>
      <c r="D3501" t="s">
        <v>6</v>
      </c>
    </row>
    <row r="3502" spans="1:4" outlineLevel="1" x14ac:dyDescent="0.25">
      <c r="A3502" t="s">
        <v>467</v>
      </c>
      <c r="B3502" t="s">
        <v>3</v>
      </c>
      <c r="C3502" s="1" t="str">
        <f>HYPERLINK("http://продеталь.рф/search.html?article=BZ079B001R","BZ079B001R")</f>
        <v>BZ079B001R</v>
      </c>
      <c r="D3502" t="s">
        <v>69</v>
      </c>
    </row>
    <row r="3503" spans="1:4" outlineLevel="1" x14ac:dyDescent="0.25">
      <c r="A3503" t="s">
        <v>467</v>
      </c>
      <c r="B3503" t="s">
        <v>5</v>
      </c>
      <c r="C3503" s="1" t="str">
        <f>HYPERLINK("http://продеталь.рф/search.html?article=PBZ11028AL","PBZ11028AL")</f>
        <v>PBZ11028AL</v>
      </c>
      <c r="D3503" t="s">
        <v>6</v>
      </c>
    </row>
    <row r="3504" spans="1:4" outlineLevel="1" x14ac:dyDescent="0.25">
      <c r="A3504" t="s">
        <v>467</v>
      </c>
      <c r="B3504" t="s">
        <v>19</v>
      </c>
      <c r="C3504" s="1" t="str">
        <f>HYPERLINK("http://продеталь.рф/search.html?article=195672059","195672059")</f>
        <v>195672059</v>
      </c>
      <c r="D3504" t="s">
        <v>4</v>
      </c>
    </row>
    <row r="3505" spans="1:4" outlineLevel="1" x14ac:dyDescent="0.25">
      <c r="A3505" t="s">
        <v>467</v>
      </c>
      <c r="B3505" t="s">
        <v>28</v>
      </c>
      <c r="C3505" s="1" t="str">
        <f>HYPERLINK("http://продеталь.рф/search.html?article=RA62619","RA62619")</f>
        <v>RA62619</v>
      </c>
      <c r="D3505" t="s">
        <v>6</v>
      </c>
    </row>
    <row r="3506" spans="1:4" outlineLevel="1" x14ac:dyDescent="0.25">
      <c r="A3506" t="s">
        <v>467</v>
      </c>
      <c r="B3506" t="s">
        <v>28</v>
      </c>
      <c r="C3506" s="1" t="str">
        <f>HYPERLINK("http://продеталь.рф/search.html?article=RA62787Q","RA62787Q")</f>
        <v>RA62787Q</v>
      </c>
      <c r="D3506" t="s">
        <v>6</v>
      </c>
    </row>
    <row r="3507" spans="1:4" outlineLevel="1" x14ac:dyDescent="0.25">
      <c r="A3507" t="s">
        <v>467</v>
      </c>
      <c r="B3507" t="s">
        <v>8</v>
      </c>
      <c r="C3507" s="1" t="str">
        <f>HYPERLINK("http://продеталь.рф/search.html?article=RC94568","RC94568")</f>
        <v>RC94568</v>
      </c>
      <c r="D3507" t="s">
        <v>6</v>
      </c>
    </row>
    <row r="3508" spans="1:4" outlineLevel="1" x14ac:dyDescent="0.25">
      <c r="A3508" t="s">
        <v>467</v>
      </c>
      <c r="B3508" t="s">
        <v>40</v>
      </c>
      <c r="C3508" s="1" t="str">
        <f>HYPERLINK("http://продеталь.рф/search.html?article=PBZ99063GA","PBZ99063GA")</f>
        <v>PBZ99063GA</v>
      </c>
      <c r="D3508" t="s">
        <v>6</v>
      </c>
    </row>
    <row r="3509" spans="1:4" x14ac:dyDescent="0.25">
      <c r="A3509" t="s">
        <v>468</v>
      </c>
      <c r="B3509" s="2" t="s">
        <v>468</v>
      </c>
      <c r="C3509" s="2"/>
      <c r="D3509" s="2"/>
    </row>
    <row r="3510" spans="1:4" outlineLevel="1" x14ac:dyDescent="0.25">
      <c r="A3510" t="s">
        <v>468</v>
      </c>
      <c r="B3510" t="s">
        <v>5</v>
      </c>
      <c r="C3510" s="1" t="str">
        <f>HYPERLINK("http://продеталь.рф/search.html?article=306BZF074","306BZF074")</f>
        <v>306BZF074</v>
      </c>
      <c r="D3510" t="s">
        <v>4</v>
      </c>
    </row>
    <row r="3511" spans="1:4" outlineLevel="1" x14ac:dyDescent="0.25">
      <c r="A3511" t="s">
        <v>468</v>
      </c>
      <c r="B3511" t="s">
        <v>5</v>
      </c>
      <c r="C3511" s="1" t="str">
        <f>HYPERLINK("http://продеталь.рф/search.html?article=306BZF072","306BZF072")</f>
        <v>306BZF072</v>
      </c>
      <c r="D3511" t="s">
        <v>4</v>
      </c>
    </row>
    <row r="3512" spans="1:4" outlineLevel="1" x14ac:dyDescent="0.25">
      <c r="A3512" t="s">
        <v>468</v>
      </c>
      <c r="B3512" t="s">
        <v>5</v>
      </c>
      <c r="C3512" s="1" t="str">
        <f>HYPERLINK("http://продеталь.рф/search.html?article=306BZF071","306BZF071")</f>
        <v>306BZF071</v>
      </c>
      <c r="D3512" t="s">
        <v>4</v>
      </c>
    </row>
    <row r="3513" spans="1:4" outlineLevel="1" x14ac:dyDescent="0.25">
      <c r="A3513" t="s">
        <v>468</v>
      </c>
      <c r="B3513" t="s">
        <v>13</v>
      </c>
      <c r="C3513" s="1" t="str">
        <f>HYPERLINK("http://продеталь.рф/search.html?article=MD660270","MD660270")</f>
        <v>MD660270</v>
      </c>
      <c r="D3513" t="s">
        <v>9</v>
      </c>
    </row>
    <row r="3514" spans="1:4" x14ac:dyDescent="0.25">
      <c r="A3514" t="s">
        <v>469</v>
      </c>
      <c r="B3514" s="2" t="s">
        <v>469</v>
      </c>
      <c r="C3514" s="2"/>
      <c r="D3514" s="2"/>
    </row>
    <row r="3515" spans="1:4" outlineLevel="1" x14ac:dyDescent="0.25">
      <c r="A3515" t="s">
        <v>469</v>
      </c>
      <c r="B3515" t="s">
        <v>11</v>
      </c>
      <c r="C3515" s="1" t="str">
        <f>HYPERLINK("http://продеталь.рф/search.html?article=BZ04025BA","BZ04025BA")</f>
        <v>BZ04025BA</v>
      </c>
      <c r="D3515" t="s">
        <v>2</v>
      </c>
    </row>
    <row r="3516" spans="1:4" outlineLevel="1" x14ac:dyDescent="0.25">
      <c r="A3516" t="s">
        <v>469</v>
      </c>
      <c r="B3516" t="s">
        <v>59</v>
      </c>
      <c r="C3516" s="1" t="str">
        <f>HYPERLINK("http://продеталь.рф/search.html?article=BZ04025LA","BZ04025LA")</f>
        <v>BZ04025LA</v>
      </c>
      <c r="D3516" t="s">
        <v>2</v>
      </c>
    </row>
    <row r="3517" spans="1:4" outlineLevel="1" x14ac:dyDescent="0.25">
      <c r="A3517" t="s">
        <v>469</v>
      </c>
      <c r="B3517" t="s">
        <v>79</v>
      </c>
      <c r="C3517" s="1" t="str">
        <f>HYPERLINK("http://продеталь.рф/search.html?article=MD460040","MD460040")</f>
        <v>MD460040</v>
      </c>
      <c r="D3517" t="s">
        <v>9</v>
      </c>
    </row>
    <row r="3518" spans="1:4" outlineLevel="1" x14ac:dyDescent="0.25">
      <c r="A3518" t="s">
        <v>469</v>
      </c>
      <c r="B3518" t="s">
        <v>1</v>
      </c>
      <c r="C3518" s="1" t="str">
        <f>HYPERLINK("http://продеталь.рф/search.html?article=PBZ20022B","PBZ20022B")</f>
        <v>PBZ20022B</v>
      </c>
      <c r="D3518" t="s">
        <v>6</v>
      </c>
    </row>
    <row r="3519" spans="1:4" outlineLevel="1" x14ac:dyDescent="0.25">
      <c r="A3519" t="s">
        <v>469</v>
      </c>
      <c r="B3519" t="s">
        <v>470</v>
      </c>
      <c r="C3519" s="1" t="str">
        <f>HYPERLINK("http://продеталь.рф/search.html?article=MD460150","MD460150")</f>
        <v>MD460150</v>
      </c>
      <c r="D3519" t="s">
        <v>9</v>
      </c>
    </row>
    <row r="3520" spans="1:4" outlineLevel="1" x14ac:dyDescent="0.25">
      <c r="A3520" t="s">
        <v>469</v>
      </c>
      <c r="B3520" t="s">
        <v>24</v>
      </c>
      <c r="C3520" s="1" t="str">
        <f>HYPERLINK("http://продеталь.рф/search.html?article=BZ10022AL","BZ10022AL")</f>
        <v>BZ10022AL</v>
      </c>
      <c r="D3520" t="s">
        <v>99</v>
      </c>
    </row>
    <row r="3521" spans="1:4" outlineLevel="1" x14ac:dyDescent="0.25">
      <c r="A3521" t="s">
        <v>469</v>
      </c>
      <c r="B3521" t="s">
        <v>240</v>
      </c>
      <c r="C3521" s="1" t="str">
        <f>HYPERLINK("http://продеталь.рф/search.html?article=3210068","3210068")</f>
        <v>3210068</v>
      </c>
      <c r="D3521" t="s">
        <v>4</v>
      </c>
    </row>
    <row r="3522" spans="1:4" outlineLevel="1" x14ac:dyDescent="0.25">
      <c r="A3522" t="s">
        <v>469</v>
      </c>
      <c r="B3522" t="s">
        <v>240</v>
      </c>
      <c r="C3522" s="1" t="str">
        <f>HYPERLINK("http://продеталь.рф/search.html?article=MD46941CA2","MD46941CA2")</f>
        <v>MD46941CA2</v>
      </c>
      <c r="D3522" t="s">
        <v>9</v>
      </c>
    </row>
    <row r="3523" spans="1:4" outlineLevel="1" x14ac:dyDescent="0.25">
      <c r="A3523" t="s">
        <v>469</v>
      </c>
      <c r="B3523" t="s">
        <v>26</v>
      </c>
      <c r="C3523" s="1" t="str">
        <f>HYPERLINK("http://продеталь.рф/search.html?article=MD46000P1","MD46000P1")</f>
        <v>MD46000P1</v>
      </c>
      <c r="D3523" t="s">
        <v>9</v>
      </c>
    </row>
    <row r="3524" spans="1:4" outlineLevel="1" x14ac:dyDescent="0.25">
      <c r="A3524" t="s">
        <v>469</v>
      </c>
      <c r="B3524" t="s">
        <v>27</v>
      </c>
      <c r="C3524" s="1" t="str">
        <f>HYPERLINK("http://продеталь.рф/search.html?article=PBZ30013AU","PBZ30013AU")</f>
        <v>PBZ30013AU</v>
      </c>
      <c r="D3524" t="s">
        <v>6</v>
      </c>
    </row>
    <row r="3525" spans="1:4" outlineLevel="1" x14ac:dyDescent="0.25">
      <c r="A3525" t="s">
        <v>469</v>
      </c>
      <c r="B3525" t="s">
        <v>40</v>
      </c>
      <c r="C3525" s="1" t="str">
        <f>HYPERLINK("http://продеталь.рф/search.html?article=MD46000G2","MD46000G2")</f>
        <v>MD46000G2</v>
      </c>
      <c r="D3525" t="s">
        <v>9</v>
      </c>
    </row>
    <row r="3526" spans="1:4" outlineLevel="1" x14ac:dyDescent="0.25">
      <c r="A3526" t="s">
        <v>469</v>
      </c>
      <c r="B3526" t="s">
        <v>40</v>
      </c>
      <c r="C3526" s="1" t="str">
        <f>HYPERLINK("http://продеталь.рф/search.html?article=MD46000G1","MD46000G1")</f>
        <v>MD46000G1</v>
      </c>
      <c r="D3526" t="s">
        <v>9</v>
      </c>
    </row>
    <row r="3527" spans="1:4" outlineLevel="1" x14ac:dyDescent="0.25">
      <c r="A3527" t="s">
        <v>469</v>
      </c>
      <c r="B3527" t="s">
        <v>40</v>
      </c>
      <c r="C3527" s="1" t="str">
        <f>HYPERLINK("http://продеталь.рф/search.html?article=BZ07022GBC","BZ07022GBC")</f>
        <v>BZ07022GBC</v>
      </c>
      <c r="D3527" t="s">
        <v>2</v>
      </c>
    </row>
    <row r="3528" spans="1:4" outlineLevel="1" x14ac:dyDescent="0.25">
      <c r="A3528" t="s">
        <v>469</v>
      </c>
      <c r="B3528" t="s">
        <v>12</v>
      </c>
      <c r="C3528" s="1" t="str">
        <f>HYPERLINK("http://продеталь.рф/search.html?article=MD460930","MD460930")</f>
        <v>MD460930</v>
      </c>
      <c r="D3528" t="s">
        <v>9</v>
      </c>
    </row>
    <row r="3529" spans="1:4" outlineLevel="1" x14ac:dyDescent="0.25">
      <c r="A3529" t="s">
        <v>469</v>
      </c>
      <c r="B3529" t="s">
        <v>12</v>
      </c>
      <c r="C3529" s="1" t="str">
        <f>HYPERLINK("http://продеталь.рф/search.html?article=BZ07038GA","BZ07038GA")</f>
        <v>BZ07038GA</v>
      </c>
      <c r="D3529" t="s">
        <v>2</v>
      </c>
    </row>
    <row r="3530" spans="1:4" outlineLevel="1" x14ac:dyDescent="0.25">
      <c r="A3530" t="s">
        <v>469</v>
      </c>
      <c r="B3530" t="s">
        <v>32</v>
      </c>
      <c r="C3530" s="1" t="str">
        <f>HYPERLINK("http://продеталь.рф/search.html?article=32100661","32100661")</f>
        <v>32100661</v>
      </c>
      <c r="D3530" t="s">
        <v>4</v>
      </c>
    </row>
    <row r="3531" spans="1:4" x14ac:dyDescent="0.25">
      <c r="A3531" t="s">
        <v>471</v>
      </c>
      <c r="B3531" s="2" t="s">
        <v>471</v>
      </c>
      <c r="C3531" s="2"/>
      <c r="D3531" s="2"/>
    </row>
    <row r="3532" spans="1:4" outlineLevel="1" x14ac:dyDescent="0.25">
      <c r="A3532" t="s">
        <v>471</v>
      </c>
      <c r="B3532" t="s">
        <v>457</v>
      </c>
      <c r="C3532" s="1" t="str">
        <f>HYPERLINK("http://продеталь.рф/search.html?article=150163009","150163009")</f>
        <v>150163009</v>
      </c>
      <c r="D3532" t="s">
        <v>4</v>
      </c>
    </row>
    <row r="3533" spans="1:4" x14ac:dyDescent="0.25">
      <c r="A3533" t="s">
        <v>472</v>
      </c>
      <c r="B3533" s="2" t="s">
        <v>472</v>
      </c>
      <c r="C3533" s="2"/>
      <c r="D3533" s="2"/>
    </row>
    <row r="3534" spans="1:4" outlineLevel="1" x14ac:dyDescent="0.25">
      <c r="A3534" t="s">
        <v>472</v>
      </c>
      <c r="B3534" t="s">
        <v>24</v>
      </c>
      <c r="C3534" s="1" t="str">
        <f>HYPERLINK("http://продеталь.рф/search.html?article=MDK10161","MDK10161")</f>
        <v>MDK10161</v>
      </c>
      <c r="D3534" t="s">
        <v>9</v>
      </c>
    </row>
    <row r="3535" spans="1:4" outlineLevel="1" x14ac:dyDescent="0.25">
      <c r="A3535" t="s">
        <v>472</v>
      </c>
      <c r="B3535" t="s">
        <v>24</v>
      </c>
      <c r="C3535" s="1" t="str">
        <f>HYPERLINK("http://продеталь.рф/search.html?article=MDK10162","MDK10162")</f>
        <v>MDK10162</v>
      </c>
      <c r="D3535" t="s">
        <v>9</v>
      </c>
    </row>
    <row r="3536" spans="1:4" x14ac:dyDescent="0.25">
      <c r="A3536" t="s">
        <v>473</v>
      </c>
      <c r="B3536" s="2" t="s">
        <v>473</v>
      </c>
      <c r="C3536" s="2"/>
      <c r="D3536" s="2"/>
    </row>
    <row r="3537" spans="1:4" outlineLevel="1" x14ac:dyDescent="0.25">
      <c r="A3537" t="s">
        <v>473</v>
      </c>
      <c r="B3537" t="s">
        <v>280</v>
      </c>
      <c r="C3537" s="1" t="str">
        <f>HYPERLINK("http://продеталь.рф/search.html?article=3546332","3546332")</f>
        <v>3546332</v>
      </c>
      <c r="D3537" t="s">
        <v>46</v>
      </c>
    </row>
    <row r="3538" spans="1:4" outlineLevel="1" x14ac:dyDescent="0.25">
      <c r="A3538" t="s">
        <v>473</v>
      </c>
      <c r="B3538" t="s">
        <v>11</v>
      </c>
      <c r="C3538" s="1" t="str">
        <f>HYPERLINK("http://продеталь.рф/search.html?article=MD760000","MD760000")</f>
        <v>MD760000</v>
      </c>
      <c r="D3538" t="s">
        <v>9</v>
      </c>
    </row>
    <row r="3539" spans="1:4" outlineLevel="1" x14ac:dyDescent="0.25">
      <c r="A3539" t="s">
        <v>473</v>
      </c>
      <c r="B3539" t="s">
        <v>15</v>
      </c>
      <c r="C3539" s="1" t="str">
        <f>HYPERLINK("http://продеталь.рф/search.html?article=3210041","3210041")</f>
        <v>3210041</v>
      </c>
      <c r="D3539" t="s">
        <v>4</v>
      </c>
    </row>
    <row r="3540" spans="1:4" outlineLevel="1" x14ac:dyDescent="0.25">
      <c r="A3540" t="s">
        <v>473</v>
      </c>
      <c r="B3540" t="s">
        <v>282</v>
      </c>
      <c r="C3540" s="1" t="str">
        <f>HYPERLINK("http://продеталь.рф/search.html?article=3546121","3546121")</f>
        <v>3546121</v>
      </c>
      <c r="D3540" t="s">
        <v>46</v>
      </c>
    </row>
    <row r="3541" spans="1:4" outlineLevel="1" x14ac:dyDescent="0.25">
      <c r="A3541" t="s">
        <v>473</v>
      </c>
      <c r="B3541" t="s">
        <v>282</v>
      </c>
      <c r="C3541" s="1" t="str">
        <f>HYPERLINK("http://продеталь.рф/search.html?article=3546122","3546122")</f>
        <v>3546122</v>
      </c>
      <c r="D3541" t="s">
        <v>46</v>
      </c>
    </row>
    <row r="3542" spans="1:4" outlineLevel="1" x14ac:dyDescent="0.25">
      <c r="A3542" t="s">
        <v>473</v>
      </c>
      <c r="B3542" t="s">
        <v>24</v>
      </c>
      <c r="C3542" s="1" t="str">
        <f>HYPERLINK("http://продеталь.рф/search.html?article=MD760162","MD760162")</f>
        <v>MD760162</v>
      </c>
      <c r="D3542" t="s">
        <v>9</v>
      </c>
    </row>
    <row r="3543" spans="1:4" outlineLevel="1" x14ac:dyDescent="0.25">
      <c r="A3543" t="s">
        <v>473</v>
      </c>
      <c r="B3543" t="s">
        <v>24</v>
      </c>
      <c r="C3543" s="1" t="str">
        <f>HYPERLINK("http://продеталь.рф/search.html?article=MD760161","MD760161")</f>
        <v>MD760161</v>
      </c>
      <c r="D3543" t="s">
        <v>9</v>
      </c>
    </row>
    <row r="3544" spans="1:4" outlineLevel="1" x14ac:dyDescent="0.25">
      <c r="A3544" t="s">
        <v>473</v>
      </c>
      <c r="B3544" t="s">
        <v>3</v>
      </c>
      <c r="C3544" s="1" t="str">
        <f>HYPERLINK("http://продеталь.рф/search.html?article=205342082","205342082")</f>
        <v>205342082</v>
      </c>
      <c r="D3544" t="s">
        <v>4</v>
      </c>
    </row>
    <row r="3545" spans="1:4" outlineLevel="1" x14ac:dyDescent="0.25">
      <c r="A3545" t="s">
        <v>473</v>
      </c>
      <c r="B3545" t="s">
        <v>3</v>
      </c>
      <c r="C3545" s="1" t="str">
        <f>HYPERLINK("http://продеталь.рф/search.html?article=205341082","205341082")</f>
        <v>205341082</v>
      </c>
      <c r="D3545" t="s">
        <v>4</v>
      </c>
    </row>
    <row r="3546" spans="1:4" outlineLevel="1" x14ac:dyDescent="0.25">
      <c r="A3546" t="s">
        <v>473</v>
      </c>
      <c r="B3546" t="s">
        <v>3</v>
      </c>
      <c r="C3546" s="1" t="str">
        <f>HYPERLINK("http://продеталь.рф/search.html?article=205341182","205341182")</f>
        <v>205341182</v>
      </c>
      <c r="D3546" t="s">
        <v>4</v>
      </c>
    </row>
    <row r="3547" spans="1:4" outlineLevel="1" x14ac:dyDescent="0.25">
      <c r="A3547" t="s">
        <v>473</v>
      </c>
      <c r="B3547" t="s">
        <v>5</v>
      </c>
      <c r="C3547" s="1" t="str">
        <f>HYPERLINK("http://продеталь.рф/search.html?article=211109","211109")</f>
        <v>211109</v>
      </c>
      <c r="D3547" t="s">
        <v>21</v>
      </c>
    </row>
    <row r="3548" spans="1:4" outlineLevel="1" x14ac:dyDescent="0.25">
      <c r="A3548" t="s">
        <v>473</v>
      </c>
      <c r="B3548" t="s">
        <v>5</v>
      </c>
      <c r="C3548" s="1" t="str">
        <f>HYPERLINK("http://продеталь.рф/search.html?article=211110","211110")</f>
        <v>211110</v>
      </c>
      <c r="D3548" t="s">
        <v>21</v>
      </c>
    </row>
    <row r="3549" spans="1:4" outlineLevel="1" x14ac:dyDescent="0.25">
      <c r="A3549" t="s">
        <v>473</v>
      </c>
      <c r="B3549" t="s">
        <v>12</v>
      </c>
      <c r="C3549" s="1" t="str">
        <f>HYPERLINK("http://продеталь.рф/search.html?article=MD760930","MD760930")</f>
        <v>MD760930</v>
      </c>
      <c r="D3549" t="s">
        <v>9</v>
      </c>
    </row>
    <row r="3550" spans="1:4" outlineLevel="1" x14ac:dyDescent="0.25">
      <c r="A3550" t="s">
        <v>473</v>
      </c>
      <c r="B3550" t="s">
        <v>32</v>
      </c>
      <c r="C3550" s="1" t="str">
        <f>HYPERLINK("http://продеталь.рф/search.html?article=VM049GL","VM049GL")</f>
        <v>VM049GL</v>
      </c>
      <c r="D3550" t="s">
        <v>474</v>
      </c>
    </row>
    <row r="3551" spans="1:4" outlineLevel="1" x14ac:dyDescent="0.25">
      <c r="A3551" t="s">
        <v>473</v>
      </c>
      <c r="B3551" t="s">
        <v>32</v>
      </c>
      <c r="C3551" s="1" t="str">
        <f>HYPERLINK("http://продеталь.рф/search.html?article=32100421","32100421")</f>
        <v>32100421</v>
      </c>
      <c r="D3551" t="s">
        <v>4</v>
      </c>
    </row>
    <row r="3552" spans="1:4" outlineLevel="1" x14ac:dyDescent="0.25">
      <c r="A3552" t="s">
        <v>473</v>
      </c>
      <c r="B3552" t="s">
        <v>32</v>
      </c>
      <c r="C3552" s="1" t="str">
        <f>HYPERLINK("http://продеталь.рф/search.html?article=32100411","32100411")</f>
        <v>32100411</v>
      </c>
      <c r="D3552" t="s">
        <v>4</v>
      </c>
    </row>
    <row r="3553" spans="1:4" outlineLevel="1" x14ac:dyDescent="0.25">
      <c r="A3553" t="s">
        <v>473</v>
      </c>
      <c r="B3553" t="s">
        <v>41</v>
      </c>
      <c r="C3553" s="1" t="str">
        <f>HYPERLINK("http://продеталь.рф/search.html?article=SBZ1115R","SBZ1115R")</f>
        <v>SBZ1115R</v>
      </c>
      <c r="D3553" t="s">
        <v>63</v>
      </c>
    </row>
    <row r="3554" spans="1:4" outlineLevel="1" x14ac:dyDescent="0.25">
      <c r="A3554" t="s">
        <v>473</v>
      </c>
      <c r="B3554" t="s">
        <v>16</v>
      </c>
      <c r="C3554" s="1" t="str">
        <f>HYPERLINK("http://продеталь.рф/search.html?article=185178052","185178052")</f>
        <v>185178052</v>
      </c>
      <c r="D3554" t="s">
        <v>4</v>
      </c>
    </row>
    <row r="3555" spans="1:4" outlineLevel="1" x14ac:dyDescent="0.25">
      <c r="A3555" t="s">
        <v>473</v>
      </c>
      <c r="B3555" t="s">
        <v>16</v>
      </c>
      <c r="C3555" s="1" t="str">
        <f>HYPERLINK("http://продеталь.рф/search.html?article=185177052","185177052")</f>
        <v>185177052</v>
      </c>
      <c r="D3555" t="s">
        <v>4</v>
      </c>
    </row>
    <row r="3556" spans="1:4" outlineLevel="1" x14ac:dyDescent="0.25">
      <c r="A3556" t="s">
        <v>473</v>
      </c>
      <c r="B3556" t="s">
        <v>75</v>
      </c>
      <c r="C3556" s="1" t="str">
        <f>HYPERLINK("http://продеталь.рф/search.html?article=5062195E","5062195E")</f>
        <v>5062195E</v>
      </c>
      <c r="D3556" t="s">
        <v>81</v>
      </c>
    </row>
    <row r="3557" spans="1:4" outlineLevel="1" x14ac:dyDescent="0.25">
      <c r="A3557" t="s">
        <v>473</v>
      </c>
      <c r="B3557" t="s">
        <v>75</v>
      </c>
      <c r="C3557" s="1" t="str">
        <f>HYPERLINK("http://продеталь.рф/search.html?article=5015195E","5015195E")</f>
        <v>5015195E</v>
      </c>
      <c r="D3557" t="s">
        <v>81</v>
      </c>
    </row>
    <row r="3558" spans="1:4" x14ac:dyDescent="0.25">
      <c r="A3558" t="s">
        <v>475</v>
      </c>
      <c r="B3558" s="2" t="s">
        <v>475</v>
      </c>
      <c r="C3558" s="2"/>
      <c r="D3558" s="2"/>
    </row>
    <row r="3559" spans="1:4" outlineLevel="1" x14ac:dyDescent="0.25">
      <c r="A3559" t="s">
        <v>475</v>
      </c>
      <c r="B3559" t="s">
        <v>11</v>
      </c>
      <c r="C3559" s="1" t="str">
        <f>HYPERLINK("http://продеталь.рф/search.html?article=MD76000E0","MD76000E0")</f>
        <v>MD76000E0</v>
      </c>
      <c r="D3559" t="s">
        <v>9</v>
      </c>
    </row>
    <row r="3560" spans="1:4" outlineLevel="1" x14ac:dyDescent="0.25">
      <c r="A3560" t="s">
        <v>475</v>
      </c>
      <c r="B3560" t="s">
        <v>23</v>
      </c>
      <c r="C3560" s="1" t="str">
        <f>HYPERLINK("http://продеталь.рф/search.html?article=110566012","110566012")</f>
        <v>110566012</v>
      </c>
      <c r="D3560" t="s">
        <v>4</v>
      </c>
    </row>
    <row r="3561" spans="1:4" outlineLevel="1" x14ac:dyDescent="0.25">
      <c r="A3561" t="s">
        <v>475</v>
      </c>
      <c r="B3561" t="s">
        <v>23</v>
      </c>
      <c r="C3561" s="1" t="str">
        <f>HYPERLINK("http://продеталь.рф/search.html?article=110565012","110565012")</f>
        <v>110565012</v>
      </c>
      <c r="D3561" t="s">
        <v>4</v>
      </c>
    </row>
    <row r="3562" spans="1:4" outlineLevel="1" x14ac:dyDescent="0.25">
      <c r="A3562" t="s">
        <v>475</v>
      </c>
      <c r="B3562" t="s">
        <v>24</v>
      </c>
      <c r="C3562" s="1" t="str">
        <f>HYPERLINK("http://продеталь.рф/search.html?article=506301","506301")</f>
        <v>506301</v>
      </c>
      <c r="D3562" t="s">
        <v>81</v>
      </c>
    </row>
    <row r="3563" spans="1:4" outlineLevel="1" x14ac:dyDescent="0.25">
      <c r="A3563" t="s">
        <v>475</v>
      </c>
      <c r="B3563" t="s">
        <v>50</v>
      </c>
      <c r="C3563" s="1" t="str">
        <f>HYPERLINK("http://продеталь.рф/search.html?article=MD76020601R00","MD76020601R00")</f>
        <v>MD76020601R00</v>
      </c>
      <c r="D3563" t="s">
        <v>9</v>
      </c>
    </row>
    <row r="3564" spans="1:4" outlineLevel="1" x14ac:dyDescent="0.25">
      <c r="A3564" t="s">
        <v>475</v>
      </c>
      <c r="B3564" t="s">
        <v>27</v>
      </c>
      <c r="C3564" s="1" t="str">
        <f>HYPERLINK("http://продеталь.рф/search.html?article=MD76009UA0","MD76009UA0")</f>
        <v>MD76009UA0</v>
      </c>
      <c r="D3564" t="s">
        <v>9</v>
      </c>
    </row>
    <row r="3565" spans="1:4" outlineLevel="1" x14ac:dyDescent="0.25">
      <c r="A3565" t="s">
        <v>475</v>
      </c>
      <c r="B3565" t="s">
        <v>3</v>
      </c>
      <c r="C3565" s="1" t="str">
        <f>HYPERLINK("http://продеталь.рф/search.html?article=200526052","200526052")</f>
        <v>200526052</v>
      </c>
      <c r="D3565" t="s">
        <v>4</v>
      </c>
    </row>
    <row r="3566" spans="1:4" outlineLevel="1" x14ac:dyDescent="0.25">
      <c r="A3566" t="s">
        <v>475</v>
      </c>
      <c r="B3566" t="s">
        <v>3</v>
      </c>
      <c r="C3566" s="1" t="str">
        <f>HYPERLINK("http://продеталь.рф/search.html?article=200495052","200495052")</f>
        <v>200495052</v>
      </c>
      <c r="D3566" t="s">
        <v>4</v>
      </c>
    </row>
    <row r="3567" spans="1:4" outlineLevel="1" x14ac:dyDescent="0.25">
      <c r="A3567" t="s">
        <v>475</v>
      </c>
      <c r="B3567" t="s">
        <v>3</v>
      </c>
      <c r="C3567" s="1" t="str">
        <f>HYPERLINK("http://продеталь.рф/search.html?article=200526152","200526152")</f>
        <v>200526152</v>
      </c>
      <c r="D3567" t="s">
        <v>4</v>
      </c>
    </row>
    <row r="3568" spans="1:4" outlineLevel="1" x14ac:dyDescent="0.25">
      <c r="A3568" t="s">
        <v>475</v>
      </c>
      <c r="B3568" t="s">
        <v>3</v>
      </c>
      <c r="C3568" s="1" t="str">
        <f>HYPERLINK("http://продеталь.рф/search.html?article=200525152","200525152")</f>
        <v>200525152</v>
      </c>
      <c r="D3568" t="s">
        <v>4</v>
      </c>
    </row>
    <row r="3569" spans="1:4" outlineLevel="1" x14ac:dyDescent="0.25">
      <c r="A3569" t="s">
        <v>475</v>
      </c>
      <c r="B3569" t="s">
        <v>28</v>
      </c>
      <c r="C3569" s="1" t="str">
        <f>HYPERLINK("http://продеталь.рф/search.html?article=RA62519Q","RA62519Q")</f>
        <v>RA62519Q</v>
      </c>
      <c r="D3569" t="s">
        <v>6</v>
      </c>
    </row>
    <row r="3570" spans="1:4" outlineLevel="1" x14ac:dyDescent="0.25">
      <c r="A3570" t="s">
        <v>475</v>
      </c>
      <c r="B3570" t="s">
        <v>12</v>
      </c>
      <c r="C3570" s="1" t="str">
        <f>HYPERLINK("http://продеталь.рф/search.html?article=MD76093B0","MD76093B0")</f>
        <v>MD76093B0</v>
      </c>
      <c r="D3570" t="s">
        <v>9</v>
      </c>
    </row>
    <row r="3571" spans="1:4" outlineLevel="1" x14ac:dyDescent="0.25">
      <c r="A3571" t="s">
        <v>475</v>
      </c>
      <c r="B3571" t="s">
        <v>13</v>
      </c>
      <c r="C3571" s="1" t="str">
        <f>HYPERLINK("http://продеталь.рф/search.html?article=MD76000RA0","MD76000RA0")</f>
        <v>MD76000RA0</v>
      </c>
      <c r="D3571" t="s">
        <v>9</v>
      </c>
    </row>
    <row r="3572" spans="1:4" x14ac:dyDescent="0.25">
      <c r="A3572" t="s">
        <v>476</v>
      </c>
      <c r="B3572" s="2" t="s">
        <v>476</v>
      </c>
      <c r="C3572" s="2"/>
      <c r="D3572" s="2"/>
    </row>
    <row r="3573" spans="1:4" outlineLevel="1" x14ac:dyDescent="0.25">
      <c r="A3573" t="s">
        <v>476</v>
      </c>
      <c r="B3573" t="s">
        <v>11</v>
      </c>
      <c r="C3573" s="1" t="str">
        <f>HYPERLINK("http://продеталь.рф/search.html?article=PBZ04053BA","PBZ04053BA")</f>
        <v>PBZ04053BA</v>
      </c>
      <c r="D3573" t="s">
        <v>6</v>
      </c>
    </row>
    <row r="3574" spans="1:4" outlineLevel="1" x14ac:dyDescent="0.25">
      <c r="A3574" t="s">
        <v>476</v>
      </c>
      <c r="B3574" t="s">
        <v>11</v>
      </c>
      <c r="C3574" s="1" t="str">
        <f>HYPERLINK("http://продеталь.рф/search.html?article=BZ04053BAN","BZ04053BAN")</f>
        <v>BZ04053BAN</v>
      </c>
      <c r="D3574" t="s">
        <v>2</v>
      </c>
    </row>
    <row r="3575" spans="1:4" outlineLevel="1" x14ac:dyDescent="0.25">
      <c r="A3575" t="s">
        <v>476</v>
      </c>
      <c r="B3575" t="s">
        <v>101</v>
      </c>
      <c r="C3575" s="1" t="str">
        <f>HYPERLINK("http://продеталь.рф/search.html?article=MD761000C0000","MD761000C0000")</f>
        <v>MD761000C0000</v>
      </c>
      <c r="D3575" t="s">
        <v>9</v>
      </c>
    </row>
    <row r="3576" spans="1:4" outlineLevel="1" x14ac:dyDescent="0.25">
      <c r="A3576" t="s">
        <v>476</v>
      </c>
      <c r="B3576" t="s">
        <v>23</v>
      </c>
      <c r="C3576" s="1" t="str">
        <f>HYPERLINK("http://продеталь.рф/search.html?article=11B446012B","11B446012B")</f>
        <v>11B446012B</v>
      </c>
      <c r="D3576" t="s">
        <v>4</v>
      </c>
    </row>
    <row r="3577" spans="1:4" outlineLevel="1" x14ac:dyDescent="0.25">
      <c r="A3577" t="s">
        <v>476</v>
      </c>
      <c r="B3577" t="s">
        <v>23</v>
      </c>
      <c r="C3577" s="1" t="str">
        <f>HYPERLINK("http://продеталь.рф/search.html?article=11B445012B","11B445012B")</f>
        <v>11B445012B</v>
      </c>
      <c r="D3577" t="s">
        <v>4</v>
      </c>
    </row>
    <row r="3578" spans="1:4" outlineLevel="1" x14ac:dyDescent="0.25">
      <c r="A3578" t="s">
        <v>476</v>
      </c>
      <c r="B3578" t="s">
        <v>160</v>
      </c>
      <c r="C3578" s="1" t="str">
        <f>HYPERLINK("http://продеталь.рф/search.html?article=310535","310535")</f>
        <v>310535</v>
      </c>
      <c r="D3578" t="s">
        <v>21</v>
      </c>
    </row>
    <row r="3579" spans="1:4" outlineLevel="1" x14ac:dyDescent="0.25">
      <c r="A3579" t="s">
        <v>476</v>
      </c>
      <c r="B3579" t="s">
        <v>1</v>
      </c>
      <c r="C3579" s="1" t="str">
        <f>HYPERLINK("http://продеталь.рф/search.html?article=MD76101500000","MD76101500000")</f>
        <v>MD76101500000</v>
      </c>
      <c r="D3579" t="s">
        <v>9</v>
      </c>
    </row>
    <row r="3580" spans="1:4" outlineLevel="1" x14ac:dyDescent="0.25">
      <c r="A3580" t="s">
        <v>476</v>
      </c>
      <c r="B3580" t="s">
        <v>24</v>
      </c>
      <c r="C3580" s="1" t="str">
        <f>HYPERLINK("http://продеталь.рф/search.html?article=MD76101600L00","MD76101600L00")</f>
        <v>MD76101600L00</v>
      </c>
      <c r="D3580" t="s">
        <v>9</v>
      </c>
    </row>
    <row r="3581" spans="1:4" outlineLevel="1" x14ac:dyDescent="0.25">
      <c r="A3581" t="s">
        <v>476</v>
      </c>
      <c r="B3581" t="s">
        <v>24</v>
      </c>
      <c r="C3581" s="1" t="str">
        <f>HYPERLINK("http://продеталь.рф/search.html?article=MD76101600R00","MD76101600R00")</f>
        <v>MD76101600R00</v>
      </c>
      <c r="D3581" t="s">
        <v>9</v>
      </c>
    </row>
    <row r="3582" spans="1:4" outlineLevel="1" x14ac:dyDescent="0.25">
      <c r="A3582" t="s">
        <v>476</v>
      </c>
      <c r="B3582" t="s">
        <v>66</v>
      </c>
      <c r="C3582" s="1" t="str">
        <f>HYPERLINK("http://продеталь.рф/search.html?article=BK067","BK067")</f>
        <v>BK067</v>
      </c>
      <c r="D3582" t="s">
        <v>6</v>
      </c>
    </row>
    <row r="3583" spans="1:4" outlineLevel="1" x14ac:dyDescent="0.25">
      <c r="A3583" t="s">
        <v>476</v>
      </c>
      <c r="B3583" t="s">
        <v>27</v>
      </c>
      <c r="C3583" s="1" t="str">
        <f>HYPERLINK("http://продеталь.рф/search.html?article=MD76100900000","MD76100900000")</f>
        <v>MD76100900000</v>
      </c>
      <c r="D3583" t="s">
        <v>9</v>
      </c>
    </row>
    <row r="3584" spans="1:4" outlineLevel="1" x14ac:dyDescent="0.25">
      <c r="A3584" t="s">
        <v>476</v>
      </c>
      <c r="B3584" t="s">
        <v>256</v>
      </c>
      <c r="C3584" s="1" t="str">
        <f>HYPERLINK("http://продеталь.рф/search.html?article=388BZL100","388BZL100")</f>
        <v>388BZL100</v>
      </c>
      <c r="D3584" t="s">
        <v>4</v>
      </c>
    </row>
    <row r="3585" spans="1:4" outlineLevel="1" x14ac:dyDescent="0.25">
      <c r="A3585" t="s">
        <v>476</v>
      </c>
      <c r="B3585" t="s">
        <v>256</v>
      </c>
      <c r="C3585" s="1" t="str">
        <f>HYPERLINK("http://продеталь.рф/search.html?article=388BZL099","388BZL099")</f>
        <v>388BZL099</v>
      </c>
      <c r="D3585" t="s">
        <v>4</v>
      </c>
    </row>
    <row r="3586" spans="1:4" outlineLevel="1" x14ac:dyDescent="0.25">
      <c r="A3586" t="s">
        <v>476</v>
      </c>
      <c r="B3586" t="s">
        <v>5</v>
      </c>
      <c r="C3586" s="1" t="str">
        <f>HYPERLINK("http://продеталь.рф/search.html?article=BZ11041AL","BZ11041AL")</f>
        <v>BZ11041AL</v>
      </c>
      <c r="D3586" t="s">
        <v>2</v>
      </c>
    </row>
    <row r="3587" spans="1:4" outlineLevel="1" x14ac:dyDescent="0.25">
      <c r="A3587" t="s">
        <v>476</v>
      </c>
      <c r="B3587" t="s">
        <v>5</v>
      </c>
      <c r="C3587" s="1" t="str">
        <f>HYPERLINK("http://продеталь.рф/search.html?article=BZ11041AR","BZ11041AR")</f>
        <v>BZ11041AR</v>
      </c>
      <c r="D3587" t="s">
        <v>2</v>
      </c>
    </row>
    <row r="3588" spans="1:4" outlineLevel="1" x14ac:dyDescent="0.25">
      <c r="A3588" t="s">
        <v>476</v>
      </c>
      <c r="B3588" t="s">
        <v>40</v>
      </c>
      <c r="C3588" s="1" t="str">
        <f>HYPERLINK("http://продеталь.рф/search.html?article=MD761000G0000","MD761000G0000")</f>
        <v>MD761000G0000</v>
      </c>
      <c r="D3588" t="s">
        <v>9</v>
      </c>
    </row>
    <row r="3589" spans="1:4" outlineLevel="1" x14ac:dyDescent="0.25">
      <c r="A3589" t="s">
        <v>476</v>
      </c>
      <c r="B3589" t="s">
        <v>40</v>
      </c>
      <c r="C3589" s="1" t="str">
        <f>HYPERLINK("http://продеталь.рф/search.html?article=MD761000G1100","MD761000G1100")</f>
        <v>MD761000G1100</v>
      </c>
      <c r="D3589" t="s">
        <v>9</v>
      </c>
    </row>
    <row r="3590" spans="1:4" outlineLevel="1" x14ac:dyDescent="0.25">
      <c r="A3590" t="s">
        <v>476</v>
      </c>
      <c r="B3590" t="s">
        <v>32</v>
      </c>
      <c r="C3590" s="1" t="str">
        <f>HYPERLINK("http://продеталь.рф/search.html?article=SBZM1002EL","SBZM1002EL")</f>
        <v>SBZM1002EL</v>
      </c>
      <c r="D3590" t="s">
        <v>6</v>
      </c>
    </row>
    <row r="3591" spans="1:4" outlineLevel="1" x14ac:dyDescent="0.25">
      <c r="A3591" t="s">
        <v>476</v>
      </c>
      <c r="B3591" t="s">
        <v>32</v>
      </c>
      <c r="C3591" s="1" t="str">
        <f>HYPERLINK("http://продеталь.рф/search.html?article=SBZM1002ER","SBZM1002ER")</f>
        <v>SBZM1002ER</v>
      </c>
      <c r="D3591" t="s">
        <v>6</v>
      </c>
    </row>
    <row r="3592" spans="1:4" outlineLevel="1" x14ac:dyDescent="0.25">
      <c r="A3592" t="s">
        <v>476</v>
      </c>
      <c r="B3592" t="s">
        <v>13</v>
      </c>
      <c r="C3592" s="1" t="str">
        <f>HYPERLINK("http://продеталь.рф/search.html?article=MD76102700000","MD76102700000")</f>
        <v>MD76102700000</v>
      </c>
      <c r="D3592" t="s">
        <v>9</v>
      </c>
    </row>
    <row r="3593" spans="1:4" x14ac:dyDescent="0.25">
      <c r="A3593" t="s">
        <v>477</v>
      </c>
      <c r="B3593" s="2" t="s">
        <v>477</v>
      </c>
      <c r="C3593" s="2"/>
      <c r="D3593" s="2"/>
    </row>
    <row r="3594" spans="1:4" outlineLevel="1" x14ac:dyDescent="0.25">
      <c r="A3594" t="s">
        <v>477</v>
      </c>
      <c r="B3594" t="s">
        <v>11</v>
      </c>
      <c r="C3594" s="1" t="str">
        <f>HYPERLINK("http://продеталь.рф/search.html?article=BZ04037BA","BZ04037BA")</f>
        <v>BZ04037BA</v>
      </c>
      <c r="D3594" t="s">
        <v>2</v>
      </c>
    </row>
    <row r="3595" spans="1:4" outlineLevel="1" x14ac:dyDescent="0.25">
      <c r="A3595" t="s">
        <v>477</v>
      </c>
      <c r="B3595" t="s">
        <v>15</v>
      </c>
      <c r="C3595" s="1" t="str">
        <f>HYPERLINK("http://продеталь.рф/search.html?article=3210046","3210046")</f>
        <v>3210046</v>
      </c>
      <c r="D3595" t="s">
        <v>4</v>
      </c>
    </row>
    <row r="3596" spans="1:4" outlineLevel="1" x14ac:dyDescent="0.25">
      <c r="A3596" t="s">
        <v>477</v>
      </c>
      <c r="B3596" t="s">
        <v>15</v>
      </c>
      <c r="C3596" s="1" t="str">
        <f>HYPERLINK("http://продеталь.рф/search.html?article=3210045","3210045")</f>
        <v>3210045</v>
      </c>
      <c r="D3596" t="s">
        <v>4</v>
      </c>
    </row>
    <row r="3597" spans="1:4" outlineLevel="1" x14ac:dyDescent="0.25">
      <c r="A3597" t="s">
        <v>477</v>
      </c>
      <c r="B3597" t="s">
        <v>15</v>
      </c>
      <c r="C3597" s="1" t="str">
        <f>HYPERLINK("http://продеталь.рф/search.html?article=3210044","3210044")</f>
        <v>3210044</v>
      </c>
      <c r="D3597" t="s">
        <v>4</v>
      </c>
    </row>
    <row r="3598" spans="1:4" outlineLevel="1" x14ac:dyDescent="0.25">
      <c r="A3598" t="s">
        <v>477</v>
      </c>
      <c r="B3598" t="s">
        <v>15</v>
      </c>
      <c r="C3598" s="1" t="str">
        <f>HYPERLINK("http://продеталь.рф/search.html?article=3210043","3210043")</f>
        <v>3210043</v>
      </c>
      <c r="D3598" t="s">
        <v>4</v>
      </c>
    </row>
    <row r="3599" spans="1:4" outlineLevel="1" x14ac:dyDescent="0.25">
      <c r="A3599" t="s">
        <v>477</v>
      </c>
      <c r="B3599" t="s">
        <v>23</v>
      </c>
      <c r="C3599" s="1" t="str">
        <f>HYPERLINK("http://продеталь.рф/search.html?article=110567012","110567012")</f>
        <v>110567012</v>
      </c>
      <c r="D3599" t="s">
        <v>4</v>
      </c>
    </row>
    <row r="3600" spans="1:4" outlineLevel="1" x14ac:dyDescent="0.25">
      <c r="A3600" t="s">
        <v>477</v>
      </c>
      <c r="B3600" t="s">
        <v>23</v>
      </c>
      <c r="C3600" s="1" t="str">
        <f>HYPERLINK("http://продеталь.рф/search.html?article=110567112","110567112")</f>
        <v>110567112</v>
      </c>
      <c r="D3600" t="s">
        <v>4</v>
      </c>
    </row>
    <row r="3601" spans="1:4" outlineLevel="1" x14ac:dyDescent="0.25">
      <c r="A3601" t="s">
        <v>477</v>
      </c>
      <c r="B3601" t="s">
        <v>23</v>
      </c>
      <c r="C3601" s="1" t="str">
        <f>HYPERLINK("http://продеталь.рф/search.html?article=110568112","110568112")</f>
        <v>110568112</v>
      </c>
      <c r="D3601" t="s">
        <v>4</v>
      </c>
    </row>
    <row r="3602" spans="1:4" outlineLevel="1" x14ac:dyDescent="0.25">
      <c r="A3602" t="s">
        <v>477</v>
      </c>
      <c r="B3602" t="s">
        <v>50</v>
      </c>
      <c r="C3602" s="1" t="str">
        <f>HYPERLINK("http://продеталь.рф/search.html?article=MD70093N0","MD70093N0")</f>
        <v>MD70093N0</v>
      </c>
      <c r="D3602" t="s">
        <v>9</v>
      </c>
    </row>
    <row r="3603" spans="1:4" outlineLevel="1" x14ac:dyDescent="0.25">
      <c r="A3603" t="s">
        <v>477</v>
      </c>
      <c r="B3603" t="s">
        <v>27</v>
      </c>
      <c r="C3603" s="1" t="str">
        <f>HYPERLINK("http://продеталь.рф/search.html?article=MD70009U0","MD70009U0")</f>
        <v>MD70009U0</v>
      </c>
      <c r="D3603" t="s">
        <v>9</v>
      </c>
    </row>
    <row r="3604" spans="1:4" outlineLevel="1" x14ac:dyDescent="0.25">
      <c r="A3604" t="s">
        <v>477</v>
      </c>
      <c r="B3604" t="s">
        <v>27</v>
      </c>
      <c r="C3604" s="1" t="str">
        <f>HYPERLINK("http://продеталь.рф/search.html?article=BZ30006AR","BZ30006AR")</f>
        <v>BZ30006AR</v>
      </c>
      <c r="D3604" t="s">
        <v>2</v>
      </c>
    </row>
    <row r="3605" spans="1:4" outlineLevel="1" x14ac:dyDescent="0.25">
      <c r="A3605" t="s">
        <v>477</v>
      </c>
      <c r="B3605" t="s">
        <v>3</v>
      </c>
      <c r="C3605" s="1" t="str">
        <f>HYPERLINK("http://продеталь.рф/search.html?article=205509052","205509052")</f>
        <v>205509052</v>
      </c>
      <c r="D3605" t="s">
        <v>4</v>
      </c>
    </row>
    <row r="3606" spans="1:4" outlineLevel="1" x14ac:dyDescent="0.25">
      <c r="A3606" t="s">
        <v>477</v>
      </c>
      <c r="B3606" t="s">
        <v>5</v>
      </c>
      <c r="C3606" s="1" t="str">
        <f>HYPERLINK("http://продеталь.рф/search.html?article=211106","211106")</f>
        <v>211106</v>
      </c>
      <c r="D3606" t="s">
        <v>21</v>
      </c>
    </row>
    <row r="3607" spans="1:4" outlineLevel="1" x14ac:dyDescent="0.25">
      <c r="A3607" t="s">
        <v>477</v>
      </c>
      <c r="B3607" t="s">
        <v>5</v>
      </c>
      <c r="C3607" s="1" t="str">
        <f>HYPERLINK("http://продеталь.рф/search.html?article=211105","211105")</f>
        <v>211105</v>
      </c>
      <c r="D3607" t="s">
        <v>21</v>
      </c>
    </row>
    <row r="3608" spans="1:4" outlineLevel="1" x14ac:dyDescent="0.25">
      <c r="A3608" t="s">
        <v>477</v>
      </c>
      <c r="B3608" t="s">
        <v>54</v>
      </c>
      <c r="C3608" s="1" t="str">
        <f>HYPERLINK("http://продеталь.рф/search.html?article=3541001","3541001")</f>
        <v>3541001</v>
      </c>
      <c r="D3608" t="s">
        <v>46</v>
      </c>
    </row>
    <row r="3609" spans="1:4" outlineLevel="1" x14ac:dyDescent="0.25">
      <c r="A3609" t="s">
        <v>477</v>
      </c>
      <c r="B3609" t="s">
        <v>54</v>
      </c>
      <c r="C3609" s="1" t="str">
        <f>HYPERLINK("http://продеталь.рф/search.html?article=3541002","3541002")</f>
        <v>3541002</v>
      </c>
      <c r="D3609" t="s">
        <v>46</v>
      </c>
    </row>
    <row r="3610" spans="1:4" outlineLevel="1" x14ac:dyDescent="0.25">
      <c r="A3610" t="s">
        <v>477</v>
      </c>
      <c r="B3610" t="s">
        <v>12</v>
      </c>
      <c r="C3610" s="1" t="str">
        <f>HYPERLINK("http://продеталь.рф/search.html?article=MD700930","MD700930")</f>
        <v>MD700930</v>
      </c>
      <c r="D3610" t="s">
        <v>9</v>
      </c>
    </row>
    <row r="3611" spans="1:4" outlineLevel="1" x14ac:dyDescent="0.25">
      <c r="A3611" t="s">
        <v>477</v>
      </c>
      <c r="B3611" t="s">
        <v>12</v>
      </c>
      <c r="C3611" s="1" t="str">
        <f>HYPERLINK("http://продеталь.рф/search.html?article=BZ07010GA","BZ07010GA")</f>
        <v>BZ07010GA</v>
      </c>
      <c r="D3611" t="s">
        <v>2</v>
      </c>
    </row>
    <row r="3612" spans="1:4" outlineLevel="1" x14ac:dyDescent="0.25">
      <c r="A3612" t="s">
        <v>477</v>
      </c>
      <c r="B3612" t="s">
        <v>41</v>
      </c>
      <c r="C3612" s="1" t="str">
        <f>HYPERLINK("http://продеталь.рф/search.html?article=SBZ1119VR","SBZ1119VR")</f>
        <v>SBZ1119VR</v>
      </c>
      <c r="D3612" t="s">
        <v>63</v>
      </c>
    </row>
    <row r="3613" spans="1:4" outlineLevel="1" x14ac:dyDescent="0.25">
      <c r="A3613" t="s">
        <v>477</v>
      </c>
      <c r="B3613" t="s">
        <v>16</v>
      </c>
      <c r="C3613" s="1" t="str">
        <f>HYPERLINK("http://продеталь.рф/search.html?article=185510152","185510152")</f>
        <v>185510152</v>
      </c>
      <c r="D3613" t="s">
        <v>4</v>
      </c>
    </row>
    <row r="3614" spans="1:4" outlineLevel="1" x14ac:dyDescent="0.25">
      <c r="A3614" t="s">
        <v>477</v>
      </c>
      <c r="B3614" t="s">
        <v>16</v>
      </c>
      <c r="C3614" s="1" t="str">
        <f>HYPERLINK("http://продеталь.рф/search.html?article=185509152","185509152")</f>
        <v>185509152</v>
      </c>
      <c r="D3614" t="s">
        <v>4</v>
      </c>
    </row>
    <row r="3615" spans="1:4" outlineLevel="1" x14ac:dyDescent="0.25">
      <c r="A3615" t="s">
        <v>477</v>
      </c>
      <c r="B3615" t="s">
        <v>16</v>
      </c>
      <c r="C3615" s="1" t="str">
        <f>HYPERLINK("http://продеталь.рф/search.html?article=185510052","185510052")</f>
        <v>185510052</v>
      </c>
      <c r="D3615" t="s">
        <v>4</v>
      </c>
    </row>
    <row r="3616" spans="1:4" outlineLevel="1" x14ac:dyDescent="0.25">
      <c r="A3616" t="s">
        <v>477</v>
      </c>
      <c r="B3616" t="s">
        <v>13</v>
      </c>
      <c r="C3616" s="1" t="str">
        <f>HYPERLINK("http://продеталь.рф/search.html?article=BZ44010A","BZ44010A")</f>
        <v>BZ44010A</v>
      </c>
      <c r="D3616" t="s">
        <v>2</v>
      </c>
    </row>
    <row r="3617" spans="1:4" x14ac:dyDescent="0.25">
      <c r="A3617" t="s">
        <v>478</v>
      </c>
      <c r="B3617" s="2" t="s">
        <v>478</v>
      </c>
      <c r="C3617" s="2"/>
      <c r="D3617" s="2"/>
    </row>
    <row r="3618" spans="1:4" outlineLevel="1" x14ac:dyDescent="0.25">
      <c r="A3618" t="s">
        <v>478</v>
      </c>
      <c r="B3618" t="s">
        <v>11</v>
      </c>
      <c r="C3618" s="1" t="str">
        <f>HYPERLINK("http://продеталь.рф/search.html?article=PBZ04062BAI","PBZ04062BAI")</f>
        <v>PBZ04062BAI</v>
      </c>
      <c r="D3618" t="s">
        <v>6</v>
      </c>
    </row>
    <row r="3619" spans="1:4" outlineLevel="1" x14ac:dyDescent="0.25">
      <c r="A3619" t="s">
        <v>478</v>
      </c>
      <c r="B3619" t="s">
        <v>35</v>
      </c>
      <c r="C3619" s="1" t="str">
        <f>HYPERLINK("http://продеталь.рф/search.html?article=310532","310532")</f>
        <v>310532</v>
      </c>
      <c r="D3619" t="s">
        <v>21</v>
      </c>
    </row>
    <row r="3620" spans="1:4" outlineLevel="1" x14ac:dyDescent="0.25">
      <c r="A3620" t="s">
        <v>478</v>
      </c>
      <c r="B3620" t="s">
        <v>27</v>
      </c>
      <c r="C3620" s="1" t="str">
        <f>HYPERLINK("http://продеталь.рф/search.html?article=PBZ30008A","PBZ30008A")</f>
        <v>PBZ30008A</v>
      </c>
      <c r="D3620" t="s">
        <v>6</v>
      </c>
    </row>
    <row r="3621" spans="1:4" outlineLevel="1" x14ac:dyDescent="0.25">
      <c r="A3621" t="s">
        <v>478</v>
      </c>
      <c r="B3621" t="s">
        <v>3</v>
      </c>
      <c r="C3621" s="1" t="str">
        <f>HYPERLINK("http://продеталь.рф/search.html?article=200464052","200464052")</f>
        <v>200464052</v>
      </c>
      <c r="D3621" t="s">
        <v>4</v>
      </c>
    </row>
    <row r="3622" spans="1:4" outlineLevel="1" x14ac:dyDescent="0.25">
      <c r="A3622" t="s">
        <v>478</v>
      </c>
      <c r="B3622" t="s">
        <v>3</v>
      </c>
      <c r="C3622" s="1" t="str">
        <f>HYPERLINK("http://продеталь.рф/search.html?article=200463052","200463052")</f>
        <v>200463052</v>
      </c>
      <c r="D3622" t="s">
        <v>4</v>
      </c>
    </row>
    <row r="3623" spans="1:4" x14ac:dyDescent="0.25">
      <c r="A3623" t="s">
        <v>479</v>
      </c>
      <c r="B3623" s="2" t="s">
        <v>479</v>
      </c>
      <c r="C3623" s="2"/>
      <c r="D3623" s="2"/>
    </row>
    <row r="3624" spans="1:4" outlineLevel="1" x14ac:dyDescent="0.25">
      <c r="A3624" t="s">
        <v>479</v>
      </c>
      <c r="B3624" t="s">
        <v>45</v>
      </c>
      <c r="C3624" s="1" t="str">
        <f>HYPERLINK("http://продеталь.рф/search.html?article=3525581","3525581")</f>
        <v>3525581</v>
      </c>
      <c r="D3624" t="s">
        <v>46</v>
      </c>
    </row>
    <row r="3625" spans="1:4" outlineLevel="1" x14ac:dyDescent="0.25">
      <c r="A3625" t="s">
        <v>479</v>
      </c>
      <c r="B3625" t="s">
        <v>45</v>
      </c>
      <c r="C3625" s="1" t="str">
        <f>HYPERLINK("http://продеталь.рф/search.html?article=3525582","3525582")</f>
        <v>3525582</v>
      </c>
      <c r="D3625" t="s">
        <v>46</v>
      </c>
    </row>
    <row r="3626" spans="1:4" outlineLevel="1" x14ac:dyDescent="0.25">
      <c r="A3626" t="s">
        <v>479</v>
      </c>
      <c r="B3626" t="s">
        <v>54</v>
      </c>
      <c r="C3626" s="1" t="str">
        <f>HYPERLINK("http://продеталь.рф/search.html?article=3525011","3525011")</f>
        <v>3525011</v>
      </c>
      <c r="D3626" t="s">
        <v>46</v>
      </c>
    </row>
    <row r="3627" spans="1:4" outlineLevel="1" x14ac:dyDescent="0.25">
      <c r="A3627" t="s">
        <v>479</v>
      </c>
      <c r="B3627" t="s">
        <v>54</v>
      </c>
      <c r="C3627" s="1" t="str">
        <f>HYPERLINK("http://продеталь.рф/search.html?article=3525012","3525012")</f>
        <v>3525012</v>
      </c>
      <c r="D3627" t="s">
        <v>46</v>
      </c>
    </row>
    <row r="3628" spans="1:4" outlineLevel="1" x14ac:dyDescent="0.25">
      <c r="A3628" t="s">
        <v>479</v>
      </c>
      <c r="B3628" t="s">
        <v>16</v>
      </c>
      <c r="C3628" s="1" t="str">
        <f>HYPERLINK("http://продеталь.рф/search.html?article=ZBZ1605CL","ZBZ1605CL")</f>
        <v>ZBZ1605CL</v>
      </c>
      <c r="D3628" t="s">
        <v>6</v>
      </c>
    </row>
    <row r="3629" spans="1:4" outlineLevel="1" x14ac:dyDescent="0.25">
      <c r="A3629" t="s">
        <v>479</v>
      </c>
      <c r="B3629" t="s">
        <v>16</v>
      </c>
      <c r="C3629" s="1" t="str">
        <f>HYPERLINK("http://продеталь.рф/search.html?article=121105A16B","121105A16B")</f>
        <v>121105A16B</v>
      </c>
      <c r="D3629" t="s">
        <v>4</v>
      </c>
    </row>
    <row r="3630" spans="1:4" outlineLevel="1" x14ac:dyDescent="0.25">
      <c r="A3630" t="s">
        <v>479</v>
      </c>
      <c r="B3630" t="s">
        <v>16</v>
      </c>
      <c r="C3630" s="1" t="str">
        <f>HYPERLINK("http://продеталь.рф/search.html?article=121104A16B","121104A16B")</f>
        <v>121104A16B</v>
      </c>
      <c r="D3630" t="s">
        <v>4</v>
      </c>
    </row>
    <row r="3631" spans="1:4" x14ac:dyDescent="0.25">
      <c r="A3631" t="s">
        <v>480</v>
      </c>
      <c r="B3631" s="2" t="s">
        <v>480</v>
      </c>
      <c r="C3631" s="2"/>
      <c r="D3631" s="2"/>
    </row>
    <row r="3632" spans="1:4" outlineLevel="1" x14ac:dyDescent="0.25">
      <c r="A3632" t="s">
        <v>480</v>
      </c>
      <c r="B3632" t="s">
        <v>11</v>
      </c>
      <c r="C3632" s="1" t="str">
        <f>HYPERLINK("http://продеталь.рф/search.html?article=29584","29584")</f>
        <v>29584</v>
      </c>
      <c r="D3632" t="s">
        <v>163</v>
      </c>
    </row>
    <row r="3633" spans="1:4" outlineLevel="1" x14ac:dyDescent="0.25">
      <c r="A3633" t="s">
        <v>480</v>
      </c>
      <c r="B3633" t="s">
        <v>11</v>
      </c>
      <c r="C3633" s="1" t="str">
        <f>HYPERLINK("http://продеталь.рф/search.html?article=29580","29580")</f>
        <v>29580</v>
      </c>
      <c r="D3633" t="s">
        <v>163</v>
      </c>
    </row>
    <row r="3634" spans="1:4" outlineLevel="1" x14ac:dyDescent="0.25">
      <c r="A3634" t="s">
        <v>480</v>
      </c>
      <c r="B3634" t="s">
        <v>11</v>
      </c>
      <c r="C3634" s="1" t="str">
        <f>HYPERLINK("http://продеталь.рф/search.html?article=MER0724001","MER0724001")</f>
        <v>MER0724001</v>
      </c>
      <c r="D3634" t="s">
        <v>182</v>
      </c>
    </row>
    <row r="3635" spans="1:4" outlineLevel="1" x14ac:dyDescent="0.25">
      <c r="A3635" t="s">
        <v>480</v>
      </c>
      <c r="B3635" t="s">
        <v>11</v>
      </c>
      <c r="C3635" s="1" t="str">
        <f>HYPERLINK("http://продеталь.рф/search.html?article=BZ04004BB","BZ04004BB")</f>
        <v>BZ04004BB</v>
      </c>
      <c r="D3635" t="s">
        <v>2</v>
      </c>
    </row>
    <row r="3636" spans="1:4" outlineLevel="1" x14ac:dyDescent="0.25">
      <c r="A3636" t="s">
        <v>480</v>
      </c>
      <c r="B3636" t="s">
        <v>11</v>
      </c>
      <c r="C3636" s="1" t="str">
        <f>HYPERLINK("http://продеталь.рф/search.html?article=29585","29585")</f>
        <v>29585</v>
      </c>
      <c r="D3636" t="s">
        <v>163</v>
      </c>
    </row>
    <row r="3637" spans="1:4" outlineLevel="1" x14ac:dyDescent="0.25">
      <c r="A3637" t="s">
        <v>480</v>
      </c>
      <c r="B3637" t="s">
        <v>11</v>
      </c>
      <c r="C3637" s="1" t="str">
        <f>HYPERLINK("http://продеталь.рф/search.html?article=BZ04015BB","BZ04015BB")</f>
        <v>BZ04015BB</v>
      </c>
      <c r="D3637" t="s">
        <v>2</v>
      </c>
    </row>
    <row r="3638" spans="1:4" outlineLevel="1" x14ac:dyDescent="0.25">
      <c r="A3638" t="s">
        <v>480</v>
      </c>
      <c r="B3638" t="s">
        <v>11</v>
      </c>
      <c r="C3638" s="1" t="str">
        <f>HYPERLINK("http://продеталь.рф/search.html?article=MER0724015","MER0724015")</f>
        <v>MER0724015</v>
      </c>
      <c r="D3638" t="s">
        <v>182</v>
      </c>
    </row>
    <row r="3639" spans="1:4" outlineLevel="1" x14ac:dyDescent="0.25">
      <c r="A3639" t="s">
        <v>480</v>
      </c>
      <c r="B3639" t="s">
        <v>15</v>
      </c>
      <c r="C3639" s="1" t="str">
        <f>HYPERLINK("http://продеталь.рф/search.html?article=3210019","3210019")</f>
        <v>3210019</v>
      </c>
      <c r="D3639" t="s">
        <v>4</v>
      </c>
    </row>
    <row r="3640" spans="1:4" outlineLevel="1" x14ac:dyDescent="0.25">
      <c r="A3640" t="s">
        <v>480</v>
      </c>
      <c r="B3640" t="s">
        <v>15</v>
      </c>
      <c r="C3640" s="1" t="str">
        <f>HYPERLINK("http://продеталь.рф/search.html?article=3210024","3210024")</f>
        <v>3210024</v>
      </c>
      <c r="D3640" t="s">
        <v>4</v>
      </c>
    </row>
    <row r="3641" spans="1:4" outlineLevel="1" x14ac:dyDescent="0.25">
      <c r="A3641" t="s">
        <v>480</v>
      </c>
      <c r="B3641" t="s">
        <v>15</v>
      </c>
      <c r="C3641" s="1" t="str">
        <f>HYPERLINK("http://продеталь.рф/search.html?article=3210023","3210023")</f>
        <v>3210023</v>
      </c>
      <c r="D3641" t="s">
        <v>4</v>
      </c>
    </row>
    <row r="3642" spans="1:4" outlineLevel="1" x14ac:dyDescent="0.25">
      <c r="A3642" t="s">
        <v>480</v>
      </c>
      <c r="B3642" t="s">
        <v>45</v>
      </c>
      <c r="C3642" s="1" t="str">
        <f>HYPERLINK("http://продеталь.рф/search.html?article=3526581","3526581")</f>
        <v>3526581</v>
      </c>
      <c r="D3642" t="s">
        <v>46</v>
      </c>
    </row>
    <row r="3643" spans="1:4" outlineLevel="1" x14ac:dyDescent="0.25">
      <c r="A3643" t="s">
        <v>480</v>
      </c>
      <c r="B3643" t="s">
        <v>45</v>
      </c>
      <c r="C3643" s="1" t="str">
        <f>HYPERLINK("http://продеталь.рф/search.html?article=3526582","3526582")</f>
        <v>3526582</v>
      </c>
      <c r="D3643" t="s">
        <v>46</v>
      </c>
    </row>
    <row r="3644" spans="1:4" outlineLevel="1" x14ac:dyDescent="0.25">
      <c r="A3644" t="s">
        <v>480</v>
      </c>
      <c r="B3644" t="s">
        <v>1</v>
      </c>
      <c r="C3644" s="1" t="str">
        <f>HYPERLINK("http://продеталь.рф/search.html?article=MD55015A0","MD55015A0")</f>
        <v>MD55015A0</v>
      </c>
      <c r="D3644" t="s">
        <v>9</v>
      </c>
    </row>
    <row r="3645" spans="1:4" outlineLevel="1" x14ac:dyDescent="0.25">
      <c r="A3645" t="s">
        <v>480</v>
      </c>
      <c r="B3645" t="s">
        <v>24</v>
      </c>
      <c r="C3645" s="1" t="str">
        <f>HYPERLINK("http://продеталь.рф/search.html?article=46241005090","46241005090")</f>
        <v>46241005090</v>
      </c>
      <c r="D3645" t="s">
        <v>49</v>
      </c>
    </row>
    <row r="3646" spans="1:4" outlineLevel="1" x14ac:dyDescent="0.25">
      <c r="A3646" t="s">
        <v>480</v>
      </c>
      <c r="B3646" t="s">
        <v>24</v>
      </c>
      <c r="C3646" s="1" t="str">
        <f>HYPERLINK("http://продеталь.рф/search.html?article=46241004090","46241004090")</f>
        <v>46241004090</v>
      </c>
      <c r="D3646" t="s">
        <v>49</v>
      </c>
    </row>
    <row r="3647" spans="1:4" outlineLevel="1" x14ac:dyDescent="0.25">
      <c r="A3647" t="s">
        <v>480</v>
      </c>
      <c r="B3647" t="s">
        <v>50</v>
      </c>
      <c r="C3647" s="1" t="str">
        <f>HYPERLINK("http://продеталь.рф/search.html?article=3526212","3526212")</f>
        <v>3526212</v>
      </c>
      <c r="D3647" t="s">
        <v>46</v>
      </c>
    </row>
    <row r="3648" spans="1:4" outlineLevel="1" x14ac:dyDescent="0.25">
      <c r="A3648" t="s">
        <v>480</v>
      </c>
      <c r="B3648" t="s">
        <v>60</v>
      </c>
      <c r="C3648" s="1" t="str">
        <f>HYPERLINK("http://продеталь.рф/search.html?article=MD55087PA0","MD55087PA0")</f>
        <v>MD55087PA0</v>
      </c>
      <c r="D3648" t="s">
        <v>9</v>
      </c>
    </row>
    <row r="3649" spans="1:4" outlineLevel="1" x14ac:dyDescent="0.25">
      <c r="A3649" t="s">
        <v>480</v>
      </c>
      <c r="B3649" t="s">
        <v>26</v>
      </c>
      <c r="C3649" s="1" t="str">
        <f>HYPERLINK("http://продеталь.рф/search.html?article=ME0321244","ME0321244")</f>
        <v>ME0321244</v>
      </c>
      <c r="D3649" t="s">
        <v>447</v>
      </c>
    </row>
    <row r="3650" spans="1:4" outlineLevel="1" x14ac:dyDescent="0.25">
      <c r="A3650" t="s">
        <v>480</v>
      </c>
      <c r="B3650" t="s">
        <v>26</v>
      </c>
      <c r="C3650" s="1" t="str">
        <f>HYPERLINK("http://продеталь.рф/search.html?article=ME0321243","ME0321243")</f>
        <v>ME0321243</v>
      </c>
      <c r="D3650" t="s">
        <v>447</v>
      </c>
    </row>
    <row r="3651" spans="1:4" outlineLevel="1" x14ac:dyDescent="0.25">
      <c r="A3651" t="s">
        <v>480</v>
      </c>
      <c r="B3651" t="s">
        <v>26</v>
      </c>
      <c r="C3651" s="1" t="str">
        <f>HYPERLINK("http://продеталь.рф/search.html?article=MER0724002","MER0724002")</f>
        <v>MER0724002</v>
      </c>
      <c r="D3651" t="s">
        <v>182</v>
      </c>
    </row>
    <row r="3652" spans="1:4" outlineLevel="1" x14ac:dyDescent="0.25">
      <c r="A3652" t="s">
        <v>480</v>
      </c>
      <c r="B3652" t="s">
        <v>51</v>
      </c>
      <c r="C3652" s="1" t="str">
        <f>HYPERLINK("http://продеталь.рф/search.html?article=13060106","13060106")</f>
        <v>13060106</v>
      </c>
      <c r="D3652" t="s">
        <v>47</v>
      </c>
    </row>
    <row r="3653" spans="1:4" outlineLevel="1" x14ac:dyDescent="0.25">
      <c r="A3653" t="s">
        <v>480</v>
      </c>
      <c r="B3653" t="s">
        <v>27</v>
      </c>
      <c r="C3653" s="1" t="str">
        <f>HYPERLINK("http://продеталь.рф/search.html?article=3526270","3526270")</f>
        <v>3526270</v>
      </c>
      <c r="D3653" t="s">
        <v>46</v>
      </c>
    </row>
    <row r="3654" spans="1:4" outlineLevel="1" x14ac:dyDescent="0.25">
      <c r="A3654" t="s">
        <v>480</v>
      </c>
      <c r="B3654" t="s">
        <v>27</v>
      </c>
      <c r="C3654" s="1" t="str">
        <f>HYPERLINK("http://продеталь.рф/search.html?article=3526200","3526200")</f>
        <v>3526200</v>
      </c>
      <c r="D3654" t="s">
        <v>46</v>
      </c>
    </row>
    <row r="3655" spans="1:4" outlineLevel="1" x14ac:dyDescent="0.25">
      <c r="A3655" t="s">
        <v>480</v>
      </c>
      <c r="B3655" t="s">
        <v>3</v>
      </c>
      <c r="C3655" s="1" t="str">
        <f>HYPERLINK("http://продеталь.рф/search.html?article=203091152","203091152")</f>
        <v>203091152</v>
      </c>
      <c r="D3655" t="s">
        <v>4</v>
      </c>
    </row>
    <row r="3656" spans="1:4" outlineLevel="1" x14ac:dyDescent="0.25">
      <c r="A3656" t="s">
        <v>480</v>
      </c>
      <c r="B3656" t="s">
        <v>3</v>
      </c>
      <c r="C3656" s="1" t="str">
        <f>HYPERLINK("http://продеталь.рф/search.html?article=203090152","203090152")</f>
        <v>203090152</v>
      </c>
      <c r="D3656" t="s">
        <v>4</v>
      </c>
    </row>
    <row r="3657" spans="1:4" outlineLevel="1" x14ac:dyDescent="0.25">
      <c r="A3657" t="s">
        <v>480</v>
      </c>
      <c r="B3657" t="s">
        <v>3</v>
      </c>
      <c r="C3657" s="1" t="str">
        <f>HYPERLINK("http://продеталь.рф/search.html?article=203768052","203768052")</f>
        <v>203768052</v>
      </c>
      <c r="D3657" t="s">
        <v>4</v>
      </c>
    </row>
    <row r="3658" spans="1:4" outlineLevel="1" x14ac:dyDescent="0.25">
      <c r="A3658" t="s">
        <v>480</v>
      </c>
      <c r="B3658" t="s">
        <v>3</v>
      </c>
      <c r="C3658" s="1" t="str">
        <f>HYPERLINK("http://продеталь.рф/search.html?article=203767052","203767052")</f>
        <v>203767052</v>
      </c>
      <c r="D3658" t="s">
        <v>4</v>
      </c>
    </row>
    <row r="3659" spans="1:4" outlineLevel="1" x14ac:dyDescent="0.25">
      <c r="A3659" t="s">
        <v>480</v>
      </c>
      <c r="B3659" t="s">
        <v>54</v>
      </c>
      <c r="C3659" s="1" t="str">
        <f>HYPERLINK("http://продеталь.рф/search.html?article=3526011","3526011")</f>
        <v>3526011</v>
      </c>
      <c r="D3659" t="s">
        <v>46</v>
      </c>
    </row>
    <row r="3660" spans="1:4" outlineLevel="1" x14ac:dyDescent="0.25">
      <c r="A3660" t="s">
        <v>480</v>
      </c>
      <c r="B3660" t="s">
        <v>54</v>
      </c>
      <c r="C3660" s="1" t="str">
        <f>HYPERLINK("http://продеталь.рф/search.html?article=3526012","3526012")</f>
        <v>3526012</v>
      </c>
      <c r="D3660" t="s">
        <v>46</v>
      </c>
    </row>
    <row r="3661" spans="1:4" outlineLevel="1" x14ac:dyDescent="0.25">
      <c r="A3661" t="s">
        <v>480</v>
      </c>
      <c r="B3661" t="s">
        <v>28</v>
      </c>
      <c r="C3661" s="1" t="str">
        <f>HYPERLINK("http://продеталь.рф/search.html?article=613BZP010","613BZP010")</f>
        <v>613BZP010</v>
      </c>
      <c r="D3661" t="s">
        <v>4</v>
      </c>
    </row>
    <row r="3662" spans="1:4" outlineLevel="1" x14ac:dyDescent="0.25">
      <c r="A3662" t="s">
        <v>480</v>
      </c>
      <c r="B3662" t="s">
        <v>28</v>
      </c>
      <c r="C3662" s="1" t="str">
        <f>HYPERLINK("http://продеталь.рф/search.html?article=RA62697Q","RA62697Q")</f>
        <v>RA62697Q</v>
      </c>
      <c r="D3662" t="s">
        <v>6</v>
      </c>
    </row>
    <row r="3663" spans="1:4" outlineLevel="1" x14ac:dyDescent="0.25">
      <c r="A3663" t="s">
        <v>480</v>
      </c>
      <c r="B3663" t="s">
        <v>29</v>
      </c>
      <c r="C3663" s="1" t="str">
        <f>HYPERLINK("http://продеталь.рф/search.html?article=RP72016","RP72016")</f>
        <v>RP72016</v>
      </c>
      <c r="D3663" t="s">
        <v>6</v>
      </c>
    </row>
    <row r="3664" spans="1:4" outlineLevel="1" x14ac:dyDescent="0.25">
      <c r="A3664" t="s">
        <v>480</v>
      </c>
      <c r="B3664" t="s">
        <v>263</v>
      </c>
      <c r="C3664" s="1" t="str">
        <f>HYPERLINK("http://продеталь.рф/search.html?article=PBZ30003ALI","PBZ30003ALI")</f>
        <v>PBZ30003ALI</v>
      </c>
      <c r="D3664" t="s">
        <v>6</v>
      </c>
    </row>
    <row r="3665" spans="1:4" outlineLevel="1" x14ac:dyDescent="0.25">
      <c r="A3665" t="s">
        <v>480</v>
      </c>
      <c r="B3665" t="s">
        <v>263</v>
      </c>
      <c r="C3665" s="1" t="str">
        <f>HYPERLINK("http://продеталь.рф/search.html?article=PBZ30003ARI","PBZ30003ARI")</f>
        <v>PBZ30003ARI</v>
      </c>
      <c r="D3665" t="s">
        <v>6</v>
      </c>
    </row>
    <row r="3666" spans="1:4" outlineLevel="1" x14ac:dyDescent="0.25">
      <c r="A3666" t="s">
        <v>480</v>
      </c>
      <c r="B3666" t="s">
        <v>12</v>
      </c>
      <c r="C3666" s="1" t="str">
        <f>HYPERLINK("http://продеталь.рф/search.html?article=BZ07006GA","BZ07006GA")</f>
        <v>BZ07006GA</v>
      </c>
      <c r="D3666" t="s">
        <v>2</v>
      </c>
    </row>
    <row r="3667" spans="1:4" outlineLevel="1" x14ac:dyDescent="0.25">
      <c r="A3667" t="s">
        <v>480</v>
      </c>
      <c r="B3667" t="s">
        <v>12</v>
      </c>
      <c r="C3667" s="1" t="str">
        <f>HYPERLINK("http://продеталь.рф/search.html?article=MD55093C0","MD55093C0")</f>
        <v>MD55093C0</v>
      </c>
      <c r="D3667" t="s">
        <v>9</v>
      </c>
    </row>
    <row r="3668" spans="1:4" outlineLevel="1" x14ac:dyDescent="0.25">
      <c r="A3668" t="s">
        <v>480</v>
      </c>
      <c r="B3668" t="s">
        <v>32</v>
      </c>
      <c r="C3668" s="1" t="str">
        <f>HYPERLINK("http://продеталь.рф/search.html?article=32100191","32100191")</f>
        <v>32100191</v>
      </c>
      <c r="D3668" t="s">
        <v>4</v>
      </c>
    </row>
    <row r="3669" spans="1:4" outlineLevel="1" x14ac:dyDescent="0.25">
      <c r="A3669" t="s">
        <v>480</v>
      </c>
      <c r="B3669" t="s">
        <v>32</v>
      </c>
      <c r="C3669" s="1" t="str">
        <f>HYPERLINK("http://продеталь.рф/search.html?article=32100231","32100231")</f>
        <v>32100231</v>
      </c>
      <c r="D3669" t="s">
        <v>4</v>
      </c>
    </row>
    <row r="3670" spans="1:4" outlineLevel="1" x14ac:dyDescent="0.25">
      <c r="A3670" t="s">
        <v>480</v>
      </c>
      <c r="B3670" t="s">
        <v>41</v>
      </c>
      <c r="C3670" s="1" t="str">
        <f>HYPERLINK("http://продеталь.рф/search.html?article=SBZ1103R","SBZ1103R")</f>
        <v>SBZ1103R</v>
      </c>
      <c r="D3670" t="s">
        <v>4</v>
      </c>
    </row>
    <row r="3671" spans="1:4" outlineLevel="1" x14ac:dyDescent="0.25">
      <c r="A3671" t="s">
        <v>480</v>
      </c>
      <c r="B3671" t="s">
        <v>41</v>
      </c>
      <c r="C3671" s="1" t="str">
        <f>HYPERLINK("http://продеталь.рф/search.html?article=SBZ1108KL","SBZ1108KL")</f>
        <v>SBZ1108KL</v>
      </c>
      <c r="D3671" t="s">
        <v>6</v>
      </c>
    </row>
    <row r="3672" spans="1:4" outlineLevel="1" x14ac:dyDescent="0.25">
      <c r="A3672" t="s">
        <v>480</v>
      </c>
      <c r="B3672" t="s">
        <v>16</v>
      </c>
      <c r="C3672" s="1" t="str">
        <f>HYPERLINK("http://продеталь.рф/search.html?article=183290932","183290932")</f>
        <v>183290932</v>
      </c>
      <c r="D3672" t="s">
        <v>4</v>
      </c>
    </row>
    <row r="3673" spans="1:4" outlineLevel="1" x14ac:dyDescent="0.25">
      <c r="A3673" t="s">
        <v>480</v>
      </c>
      <c r="B3673" t="s">
        <v>16</v>
      </c>
      <c r="C3673" s="1" t="str">
        <f>HYPERLINK("http://продеталь.рф/search.html?article=183289932","183289932")</f>
        <v>183289932</v>
      </c>
      <c r="D3673" t="s">
        <v>4</v>
      </c>
    </row>
    <row r="3674" spans="1:4" outlineLevel="1" x14ac:dyDescent="0.25">
      <c r="A3674" t="s">
        <v>480</v>
      </c>
      <c r="B3674" t="s">
        <v>16</v>
      </c>
      <c r="C3674" s="1" t="str">
        <f>HYPERLINK("http://продеталь.рф/search.html?article=183290052","183290052")</f>
        <v>183290052</v>
      </c>
      <c r="D3674" t="s">
        <v>4</v>
      </c>
    </row>
    <row r="3675" spans="1:4" outlineLevel="1" x14ac:dyDescent="0.25">
      <c r="A3675" t="s">
        <v>480</v>
      </c>
      <c r="B3675" t="s">
        <v>16</v>
      </c>
      <c r="C3675" s="1" t="str">
        <f>HYPERLINK("http://продеталь.рф/search.html?article=183289052","183289052")</f>
        <v>183289052</v>
      </c>
      <c r="D3675" t="s">
        <v>4</v>
      </c>
    </row>
    <row r="3676" spans="1:4" outlineLevel="1" x14ac:dyDescent="0.25">
      <c r="A3676" t="s">
        <v>480</v>
      </c>
      <c r="B3676" t="s">
        <v>16</v>
      </c>
      <c r="C3676" s="1" t="str">
        <f>HYPERLINK("http://продеталь.рф/search.html?article=183290972","183290972")</f>
        <v>183290972</v>
      </c>
      <c r="D3676" t="s">
        <v>4</v>
      </c>
    </row>
    <row r="3677" spans="1:4" outlineLevel="1" x14ac:dyDescent="0.25">
      <c r="A3677" t="s">
        <v>480</v>
      </c>
      <c r="B3677" t="s">
        <v>16</v>
      </c>
      <c r="C3677" s="1" t="str">
        <f>HYPERLINK("http://продеталь.рф/search.html?article=183289972","183289972")</f>
        <v>183289972</v>
      </c>
      <c r="D3677" t="s">
        <v>4</v>
      </c>
    </row>
    <row r="3678" spans="1:4" x14ac:dyDescent="0.25">
      <c r="A3678" t="s">
        <v>481</v>
      </c>
      <c r="B3678" s="2" t="s">
        <v>481</v>
      </c>
      <c r="C3678" s="2"/>
      <c r="D3678" s="2"/>
    </row>
    <row r="3679" spans="1:4" outlineLevel="1" x14ac:dyDescent="0.25">
      <c r="A3679" t="s">
        <v>481</v>
      </c>
      <c r="B3679" t="s">
        <v>16</v>
      </c>
      <c r="C3679" s="1" t="str">
        <f>HYPERLINK("http://продеталь.рф/search.html?article=183360932","183360932")</f>
        <v>183360932</v>
      </c>
      <c r="D3679" t="s">
        <v>4</v>
      </c>
    </row>
    <row r="3680" spans="1:4" outlineLevel="1" x14ac:dyDescent="0.25">
      <c r="A3680" t="s">
        <v>481</v>
      </c>
      <c r="B3680" t="s">
        <v>16</v>
      </c>
      <c r="C3680" s="1" t="str">
        <f>HYPERLINK("http://продеталь.рф/search.html?article=183359932","183359932")</f>
        <v>183359932</v>
      </c>
      <c r="D3680" t="s">
        <v>4</v>
      </c>
    </row>
    <row r="3681" spans="1:4" x14ac:dyDescent="0.25">
      <c r="A3681" t="s">
        <v>482</v>
      </c>
      <c r="B3681" s="2" t="s">
        <v>482</v>
      </c>
      <c r="C3681" s="2"/>
      <c r="D3681" s="2"/>
    </row>
    <row r="3682" spans="1:4" outlineLevel="1" x14ac:dyDescent="0.25">
      <c r="A3682" t="s">
        <v>482</v>
      </c>
      <c r="B3682" t="s">
        <v>11</v>
      </c>
      <c r="C3682" s="1" t="str">
        <f>HYPERLINK("http://продеталь.рф/search.html?article=BZ04017BA","BZ04017BA")</f>
        <v>BZ04017BA</v>
      </c>
      <c r="D3682" t="s">
        <v>2</v>
      </c>
    </row>
    <row r="3683" spans="1:4" outlineLevel="1" x14ac:dyDescent="0.25">
      <c r="A3683" t="s">
        <v>482</v>
      </c>
      <c r="B3683" t="s">
        <v>15</v>
      </c>
      <c r="C3683" s="1" t="str">
        <f>HYPERLINK("http://продеталь.рф/search.html?article=3210012","3210012")</f>
        <v>3210012</v>
      </c>
      <c r="D3683" t="s">
        <v>4</v>
      </c>
    </row>
    <row r="3684" spans="1:4" outlineLevel="1" x14ac:dyDescent="0.25">
      <c r="A3684" t="s">
        <v>482</v>
      </c>
      <c r="B3684" t="s">
        <v>15</v>
      </c>
      <c r="C3684" s="1" t="str">
        <f>HYPERLINK("http://продеталь.рф/search.html?article=3210011","3210011")</f>
        <v>3210011</v>
      </c>
      <c r="D3684" t="s">
        <v>4</v>
      </c>
    </row>
    <row r="3685" spans="1:4" outlineLevel="1" x14ac:dyDescent="0.25">
      <c r="A3685" t="s">
        <v>482</v>
      </c>
      <c r="B3685" t="s">
        <v>101</v>
      </c>
      <c r="C3685" s="1" t="str">
        <f>HYPERLINK("http://продеталь.рф/search.html?article=PBZ99017CAR","PBZ99017CAR")</f>
        <v>PBZ99017CAR</v>
      </c>
      <c r="D3685" t="s">
        <v>6</v>
      </c>
    </row>
    <row r="3686" spans="1:4" outlineLevel="1" x14ac:dyDescent="0.25">
      <c r="A3686" t="s">
        <v>482</v>
      </c>
      <c r="B3686" t="s">
        <v>1</v>
      </c>
      <c r="C3686" s="1" t="str">
        <f>HYPERLINK("http://продеталь.рф/search.html?article=MD450150","MD450150")</f>
        <v>MD450150</v>
      </c>
      <c r="D3686" t="s">
        <v>9</v>
      </c>
    </row>
    <row r="3687" spans="1:4" outlineLevel="1" x14ac:dyDescent="0.25">
      <c r="A3687" t="s">
        <v>482</v>
      </c>
      <c r="B3687" t="s">
        <v>50</v>
      </c>
      <c r="C3687" s="1" t="str">
        <f>HYPERLINK("http://продеталь.рф/search.html?article=MD14092130L","MD14092130L")</f>
        <v>MD14092130L</v>
      </c>
      <c r="D3687" t="s">
        <v>34</v>
      </c>
    </row>
    <row r="3688" spans="1:4" outlineLevel="1" x14ac:dyDescent="0.25">
      <c r="A3688" t="s">
        <v>482</v>
      </c>
      <c r="B3688" t="s">
        <v>50</v>
      </c>
      <c r="C3688" s="1" t="str">
        <f>HYPERLINK("http://продеталь.рф/search.html?article=MD14092130R","MD14092130R")</f>
        <v>MD14092130R</v>
      </c>
      <c r="D3688" t="s">
        <v>34</v>
      </c>
    </row>
    <row r="3689" spans="1:4" outlineLevel="1" x14ac:dyDescent="0.25">
      <c r="A3689" t="s">
        <v>482</v>
      </c>
      <c r="B3689" t="s">
        <v>26</v>
      </c>
      <c r="C3689" s="1" t="str">
        <f>HYPERLINK("http://продеталь.рф/search.html?article=BZ47005AL","BZ47005AL")</f>
        <v>BZ47005AL</v>
      </c>
      <c r="D3689" t="s">
        <v>2</v>
      </c>
    </row>
    <row r="3690" spans="1:4" outlineLevel="1" x14ac:dyDescent="0.25">
      <c r="A3690" t="s">
        <v>482</v>
      </c>
      <c r="B3690" t="s">
        <v>26</v>
      </c>
      <c r="C3690" s="1" t="str">
        <f>HYPERLINK("http://продеталь.рф/search.html?article=BZ47005AR","BZ47005AR")</f>
        <v>BZ47005AR</v>
      </c>
      <c r="D3690" t="s">
        <v>2</v>
      </c>
    </row>
    <row r="3691" spans="1:4" outlineLevel="1" x14ac:dyDescent="0.25">
      <c r="A3691" t="s">
        <v>482</v>
      </c>
      <c r="B3691" t="s">
        <v>3</v>
      </c>
      <c r="C3691" s="1" t="str">
        <f>HYPERLINK("http://продеталь.рф/search.html?article=205392082","205392082")</f>
        <v>205392082</v>
      </c>
      <c r="D3691" t="s">
        <v>4</v>
      </c>
    </row>
    <row r="3692" spans="1:4" outlineLevel="1" x14ac:dyDescent="0.25">
      <c r="A3692" t="s">
        <v>482</v>
      </c>
      <c r="B3692" t="s">
        <v>3</v>
      </c>
      <c r="C3692" s="1" t="str">
        <f>HYPERLINK("http://продеталь.рф/search.html?article=205391082","205391082")</f>
        <v>205391082</v>
      </c>
      <c r="D3692" t="s">
        <v>4</v>
      </c>
    </row>
    <row r="3693" spans="1:4" outlineLevel="1" x14ac:dyDescent="0.25">
      <c r="A3693" t="s">
        <v>482</v>
      </c>
      <c r="B3693" t="s">
        <v>3</v>
      </c>
      <c r="C3693" s="1" t="str">
        <f>HYPERLINK("http://продеталь.рф/search.html?article=205334082","205334082")</f>
        <v>205334082</v>
      </c>
      <c r="D3693" t="s">
        <v>4</v>
      </c>
    </row>
    <row r="3694" spans="1:4" outlineLevel="1" x14ac:dyDescent="0.25">
      <c r="A3694" t="s">
        <v>482</v>
      </c>
      <c r="B3694" t="s">
        <v>3</v>
      </c>
      <c r="C3694" s="1" t="str">
        <f>HYPERLINK("http://продеталь.рф/search.html?article=205333082","205333082")</f>
        <v>205333082</v>
      </c>
      <c r="D3694" t="s">
        <v>4</v>
      </c>
    </row>
    <row r="3695" spans="1:4" outlineLevel="1" x14ac:dyDescent="0.25">
      <c r="A3695" t="s">
        <v>482</v>
      </c>
      <c r="B3695" t="s">
        <v>5</v>
      </c>
      <c r="C3695" s="1" t="str">
        <f>HYPERLINK("http://продеталь.рф/search.html?article=BZ11011AL","BZ11011AL")</f>
        <v>BZ11011AL</v>
      </c>
      <c r="D3695" t="s">
        <v>99</v>
      </c>
    </row>
    <row r="3696" spans="1:4" outlineLevel="1" x14ac:dyDescent="0.25">
      <c r="A3696" t="s">
        <v>482</v>
      </c>
      <c r="B3696" t="s">
        <v>5</v>
      </c>
      <c r="C3696" s="1" t="str">
        <f>HYPERLINK("http://продеталь.рф/search.html?article=BZ11011AR","BZ11011AR")</f>
        <v>BZ11011AR</v>
      </c>
      <c r="D3696" t="s">
        <v>99</v>
      </c>
    </row>
    <row r="3697" spans="1:4" outlineLevel="1" x14ac:dyDescent="0.25">
      <c r="A3697" t="s">
        <v>482</v>
      </c>
      <c r="B3697" t="s">
        <v>16</v>
      </c>
      <c r="C3697" s="1" t="str">
        <f>HYPERLINK("http://продеталь.рф/search.html?article=183312932B","183312932B")</f>
        <v>183312932B</v>
      </c>
      <c r="D3697" t="s">
        <v>4</v>
      </c>
    </row>
    <row r="3698" spans="1:4" outlineLevel="1" x14ac:dyDescent="0.25">
      <c r="A3698" t="s">
        <v>482</v>
      </c>
      <c r="B3698" t="s">
        <v>16</v>
      </c>
      <c r="C3698" s="1" t="str">
        <f>HYPERLINK("http://продеталь.рф/search.html?article=183311932B","183311932B")</f>
        <v>183311932B</v>
      </c>
      <c r="D3698" t="s">
        <v>4</v>
      </c>
    </row>
    <row r="3699" spans="1:4" outlineLevel="1" x14ac:dyDescent="0.25">
      <c r="A3699" t="s">
        <v>482</v>
      </c>
      <c r="B3699" t="s">
        <v>16</v>
      </c>
      <c r="C3699" s="1" t="str">
        <f>HYPERLINK("http://продеталь.рф/search.html?article=183379052","183379052")</f>
        <v>183379052</v>
      </c>
      <c r="D3699" t="s">
        <v>4</v>
      </c>
    </row>
    <row r="3700" spans="1:4" x14ac:dyDescent="0.25">
      <c r="A3700" t="s">
        <v>483</v>
      </c>
      <c r="B3700" s="2" t="s">
        <v>483</v>
      </c>
      <c r="C3700" s="2"/>
      <c r="D3700" s="2"/>
    </row>
    <row r="3701" spans="1:4" outlineLevel="1" x14ac:dyDescent="0.25">
      <c r="A3701" t="s">
        <v>483</v>
      </c>
      <c r="B3701" t="s">
        <v>11</v>
      </c>
      <c r="C3701" s="1" t="str">
        <f>HYPERLINK("http://продеталь.рф/search.html?article=29586","29586")</f>
        <v>29586</v>
      </c>
      <c r="D3701" t="s">
        <v>163</v>
      </c>
    </row>
    <row r="3702" spans="1:4" outlineLevel="1" x14ac:dyDescent="0.25">
      <c r="A3702" t="s">
        <v>483</v>
      </c>
      <c r="B3702" t="s">
        <v>11</v>
      </c>
      <c r="C3702" s="1" t="str">
        <f>HYPERLINK("http://продеталь.рф/search.html?article=29560","29560")</f>
        <v>29560</v>
      </c>
      <c r="D3702" t="s">
        <v>163</v>
      </c>
    </row>
    <row r="3703" spans="1:4" outlineLevel="1" x14ac:dyDescent="0.25">
      <c r="A3703" t="s">
        <v>483</v>
      </c>
      <c r="B3703" t="s">
        <v>45</v>
      </c>
      <c r="C3703" s="1" t="str">
        <f>HYPERLINK("http://продеталь.рф/search.html?article=3511582","3511582")</f>
        <v>3511582</v>
      </c>
      <c r="D3703" t="s">
        <v>46</v>
      </c>
    </row>
    <row r="3704" spans="1:4" outlineLevel="1" x14ac:dyDescent="0.25">
      <c r="A3704" t="s">
        <v>483</v>
      </c>
      <c r="B3704" t="s">
        <v>35</v>
      </c>
      <c r="C3704" s="1" t="str">
        <f>HYPERLINK("http://продеталь.рф/search.html?article=310522","310522")</f>
        <v>310522</v>
      </c>
      <c r="D3704" t="s">
        <v>21</v>
      </c>
    </row>
    <row r="3705" spans="1:4" outlineLevel="1" x14ac:dyDescent="0.25">
      <c r="A3705" t="s">
        <v>483</v>
      </c>
      <c r="B3705" t="s">
        <v>1</v>
      </c>
      <c r="C3705" s="1" t="str">
        <f>HYPERLINK("http://продеталь.рф/search.html?article=46011002","46011002")</f>
        <v>46011002</v>
      </c>
      <c r="D3705" t="s">
        <v>49</v>
      </c>
    </row>
    <row r="3706" spans="1:4" outlineLevel="1" x14ac:dyDescent="0.25">
      <c r="A3706" t="s">
        <v>483</v>
      </c>
      <c r="B3706" t="s">
        <v>24</v>
      </c>
      <c r="C3706" s="1" t="str">
        <f>HYPERLINK("http://продеталь.рф/search.html?article=MD050161","MD050161")</f>
        <v>MD050161</v>
      </c>
      <c r="D3706" t="s">
        <v>9</v>
      </c>
    </row>
    <row r="3707" spans="1:4" outlineLevel="1" x14ac:dyDescent="0.25">
      <c r="A3707" t="s">
        <v>483</v>
      </c>
      <c r="B3707" t="s">
        <v>24</v>
      </c>
      <c r="C3707" s="1" t="str">
        <f>HYPERLINK("http://продеталь.рф/search.html?article=PBZ10004BR","PBZ10004BR")</f>
        <v>PBZ10004BR</v>
      </c>
      <c r="D3707" t="s">
        <v>6</v>
      </c>
    </row>
    <row r="3708" spans="1:4" outlineLevel="1" x14ac:dyDescent="0.25">
      <c r="A3708" t="s">
        <v>483</v>
      </c>
      <c r="B3708" t="s">
        <v>26</v>
      </c>
      <c r="C3708" s="1" t="str">
        <f>HYPERLINK("http://продеталь.рф/search.html?article=BZ04001PA","BZ04001PA")</f>
        <v>BZ04001PA</v>
      </c>
      <c r="D3708" t="s">
        <v>2</v>
      </c>
    </row>
    <row r="3709" spans="1:4" outlineLevel="1" x14ac:dyDescent="0.25">
      <c r="A3709" t="s">
        <v>483</v>
      </c>
      <c r="B3709" t="s">
        <v>51</v>
      </c>
      <c r="C3709" s="1" t="str">
        <f>HYPERLINK("http://продеталь.рф/search.html?article=3511230","3511230")</f>
        <v>3511230</v>
      </c>
      <c r="D3709" t="s">
        <v>46</v>
      </c>
    </row>
    <row r="3710" spans="1:4" outlineLevel="1" x14ac:dyDescent="0.25">
      <c r="A3710" t="s">
        <v>483</v>
      </c>
      <c r="B3710" t="s">
        <v>27</v>
      </c>
      <c r="C3710" s="1" t="str">
        <f>HYPERLINK("http://продеталь.рф/search.html?article=3511270","3511270")</f>
        <v>3511270</v>
      </c>
      <c r="D3710" t="s">
        <v>46</v>
      </c>
    </row>
    <row r="3711" spans="1:4" outlineLevel="1" x14ac:dyDescent="0.25">
      <c r="A3711" t="s">
        <v>483</v>
      </c>
      <c r="B3711" t="s">
        <v>3</v>
      </c>
      <c r="C3711" s="1" t="str">
        <f>HYPERLINK("http://продеталь.рф/search.html?article=203220052","203220052")</f>
        <v>203220052</v>
      </c>
      <c r="D3711" t="s">
        <v>4</v>
      </c>
    </row>
    <row r="3712" spans="1:4" outlineLevel="1" x14ac:dyDescent="0.25">
      <c r="A3712" t="s">
        <v>483</v>
      </c>
      <c r="B3712" t="s">
        <v>3</v>
      </c>
      <c r="C3712" s="1" t="str">
        <f>HYPERLINK("http://продеталь.рф/search.html?article=203219052","203219052")</f>
        <v>203219052</v>
      </c>
      <c r="D3712" t="s">
        <v>4</v>
      </c>
    </row>
    <row r="3713" spans="1:4" outlineLevel="1" x14ac:dyDescent="0.25">
      <c r="A3713" t="s">
        <v>483</v>
      </c>
      <c r="B3713" t="s">
        <v>5</v>
      </c>
      <c r="C3713" s="1" t="str">
        <f>HYPERLINK("http://продеталь.рф/search.html?article=211117","211117")</f>
        <v>211117</v>
      </c>
      <c r="D3713" t="s">
        <v>21</v>
      </c>
    </row>
    <row r="3714" spans="1:4" outlineLevel="1" x14ac:dyDescent="0.25">
      <c r="A3714" t="s">
        <v>483</v>
      </c>
      <c r="B3714" t="s">
        <v>5</v>
      </c>
      <c r="C3714" s="1" t="str">
        <f>HYPERLINK("http://продеталь.рф/search.html?article=211118","211118")</f>
        <v>211118</v>
      </c>
      <c r="D3714" t="s">
        <v>21</v>
      </c>
    </row>
    <row r="3715" spans="1:4" outlineLevel="1" x14ac:dyDescent="0.25">
      <c r="A3715" t="s">
        <v>483</v>
      </c>
      <c r="B3715" t="s">
        <v>54</v>
      </c>
      <c r="C3715" s="1" t="str">
        <f>HYPERLINK("http://продеталь.рф/search.html?article=3511011","3511011")</f>
        <v>3511011</v>
      </c>
      <c r="D3715" t="s">
        <v>46</v>
      </c>
    </row>
    <row r="3716" spans="1:4" outlineLevel="1" x14ac:dyDescent="0.25">
      <c r="A3716" t="s">
        <v>483</v>
      </c>
      <c r="B3716" t="s">
        <v>54</v>
      </c>
      <c r="C3716" s="1" t="str">
        <f>HYPERLINK("http://продеталь.рф/search.html?article=3511012","3511012")</f>
        <v>3511012</v>
      </c>
      <c r="D3716" t="s">
        <v>46</v>
      </c>
    </row>
    <row r="3717" spans="1:4" outlineLevel="1" x14ac:dyDescent="0.25">
      <c r="A3717" t="s">
        <v>483</v>
      </c>
      <c r="B3717" t="s">
        <v>263</v>
      </c>
      <c r="C3717" s="1" t="str">
        <f>HYPERLINK("http://продеталь.рф/search.html?article=3511242","3511242")</f>
        <v>3511242</v>
      </c>
      <c r="D3717" t="s">
        <v>46</v>
      </c>
    </row>
    <row r="3718" spans="1:4" outlineLevel="1" x14ac:dyDescent="0.25">
      <c r="A3718" t="s">
        <v>483</v>
      </c>
      <c r="B3718" t="s">
        <v>12</v>
      </c>
      <c r="C3718" s="1" t="str">
        <f>HYPERLINK("http://продеталь.рф/search.html?article=MD05093A0","MD05093A0")</f>
        <v>MD05093A0</v>
      </c>
      <c r="D3718" t="s">
        <v>9</v>
      </c>
    </row>
    <row r="3719" spans="1:4" outlineLevel="1" x14ac:dyDescent="0.25">
      <c r="A3719" t="s">
        <v>483</v>
      </c>
      <c r="B3719" t="s">
        <v>41</v>
      </c>
      <c r="C3719" s="1" t="str">
        <f>HYPERLINK("http://продеталь.рф/search.html?article=SBZ1114L","SBZ1114L")</f>
        <v>SBZ1114L</v>
      </c>
      <c r="D3719" t="s">
        <v>4</v>
      </c>
    </row>
    <row r="3720" spans="1:4" outlineLevel="1" x14ac:dyDescent="0.25">
      <c r="A3720" t="s">
        <v>483</v>
      </c>
      <c r="B3720" t="s">
        <v>41</v>
      </c>
      <c r="C3720" s="1" t="str">
        <f>HYPERLINK("http://продеталь.рф/search.html?article=SBZ1114KL","SBZ1114KL")</f>
        <v>SBZ1114KL</v>
      </c>
      <c r="D3720" t="s">
        <v>6</v>
      </c>
    </row>
    <row r="3721" spans="1:4" outlineLevel="1" x14ac:dyDescent="0.25">
      <c r="A3721" t="s">
        <v>483</v>
      </c>
      <c r="B3721" t="s">
        <v>16</v>
      </c>
      <c r="C3721" s="1" t="str">
        <f>HYPERLINK("http://продеталь.рф/search.html?article=183255932","183255932")</f>
        <v>183255932</v>
      </c>
      <c r="D3721" t="s">
        <v>4</v>
      </c>
    </row>
    <row r="3722" spans="1:4" outlineLevel="1" x14ac:dyDescent="0.25">
      <c r="A3722" t="s">
        <v>483</v>
      </c>
      <c r="B3722" t="s">
        <v>16</v>
      </c>
      <c r="C3722" s="1" t="str">
        <f>HYPERLINK("http://продеталь.рф/search.html?article=183256052","183256052")</f>
        <v>183256052</v>
      </c>
      <c r="D3722" t="s">
        <v>4</v>
      </c>
    </row>
    <row r="3723" spans="1:4" outlineLevel="1" x14ac:dyDescent="0.25">
      <c r="A3723" t="s">
        <v>483</v>
      </c>
      <c r="B3723" t="s">
        <v>16</v>
      </c>
      <c r="C3723" s="1" t="str">
        <f>HYPERLINK("http://продеталь.рф/search.html?article=183255052","183255052")</f>
        <v>183255052</v>
      </c>
      <c r="D3723" t="s">
        <v>4</v>
      </c>
    </row>
    <row r="3724" spans="1:4" outlineLevel="1" x14ac:dyDescent="0.25">
      <c r="A3724" t="s">
        <v>483</v>
      </c>
      <c r="B3724" t="s">
        <v>16</v>
      </c>
      <c r="C3724" s="1" t="str">
        <f>HYPERLINK("http://продеталь.рф/search.html?article=183256972","183256972")</f>
        <v>183256972</v>
      </c>
      <c r="D3724" t="s">
        <v>4</v>
      </c>
    </row>
    <row r="3725" spans="1:4" outlineLevel="1" x14ac:dyDescent="0.25">
      <c r="A3725" t="s">
        <v>483</v>
      </c>
      <c r="B3725" t="s">
        <v>16</v>
      </c>
      <c r="C3725" s="1" t="str">
        <f>HYPERLINK("http://продеталь.рф/search.html?article=183255972","183255972")</f>
        <v>183255972</v>
      </c>
      <c r="D3725" t="s">
        <v>4</v>
      </c>
    </row>
    <row r="3726" spans="1:4" x14ac:dyDescent="0.25">
      <c r="A3726" t="s">
        <v>484</v>
      </c>
      <c r="B3726" s="2" t="s">
        <v>484</v>
      </c>
      <c r="C3726" s="2"/>
      <c r="D3726" s="2"/>
    </row>
    <row r="3727" spans="1:4" outlineLevel="1" x14ac:dyDescent="0.25">
      <c r="A3727" t="s">
        <v>484</v>
      </c>
      <c r="B3727" t="s">
        <v>11</v>
      </c>
      <c r="C3727" s="1" t="str">
        <f>HYPERLINK("http://продеталь.рф/search.html?article=AS02000A0","AS02000A0")</f>
        <v>AS02000A0</v>
      </c>
      <c r="D3727" t="s">
        <v>9</v>
      </c>
    </row>
    <row r="3728" spans="1:4" outlineLevel="1" x14ac:dyDescent="0.25">
      <c r="A3728" t="s">
        <v>484</v>
      </c>
      <c r="B3728" t="s">
        <v>15</v>
      </c>
      <c r="C3728" s="1" t="str">
        <f>HYPERLINK("http://продеталь.рф/search.html?article=388BMD112TPA","388BMD112TPA")</f>
        <v>388BMD112TPA</v>
      </c>
      <c r="D3728" t="s">
        <v>4</v>
      </c>
    </row>
    <row r="3729" spans="1:4" outlineLevel="1" x14ac:dyDescent="0.25">
      <c r="A3729" t="s">
        <v>484</v>
      </c>
      <c r="B3729" t="s">
        <v>485</v>
      </c>
      <c r="C3729" s="1" t="str">
        <f>HYPERLINK("http://продеталь.рф/search.html?article=3220002","3220002")</f>
        <v>3220002</v>
      </c>
      <c r="D3729" t="s">
        <v>4</v>
      </c>
    </row>
    <row r="3730" spans="1:4" outlineLevel="1" x14ac:dyDescent="0.25">
      <c r="A3730" t="s">
        <v>484</v>
      </c>
      <c r="B3730" t="s">
        <v>79</v>
      </c>
      <c r="C3730" s="1" t="str">
        <f>HYPERLINK("http://продеталь.рф/search.html?article=RDMN200040","RDMN200040")</f>
        <v>RDMN200040</v>
      </c>
      <c r="D3730" t="s">
        <v>6</v>
      </c>
    </row>
    <row r="3731" spans="1:4" outlineLevel="1" x14ac:dyDescent="0.25">
      <c r="A3731" t="s">
        <v>484</v>
      </c>
      <c r="B3731" t="s">
        <v>1</v>
      </c>
      <c r="C3731" s="1" t="str">
        <f>HYPERLINK("http://продеталь.рф/search.html?article=AT20015A","AT20015A")</f>
        <v>AT20015A</v>
      </c>
      <c r="D3731" t="s">
        <v>2</v>
      </c>
    </row>
    <row r="3732" spans="1:4" outlineLevel="1" x14ac:dyDescent="0.25">
      <c r="A3732" t="s">
        <v>484</v>
      </c>
      <c r="B3732" t="s">
        <v>26</v>
      </c>
      <c r="C3732" s="1" t="str">
        <f>HYPERLINK("http://продеталь.рф/search.html?article=PMN99015MAR","PMN99015MAR")</f>
        <v>PMN99015MAR</v>
      </c>
      <c r="D3732" t="s">
        <v>6</v>
      </c>
    </row>
    <row r="3733" spans="1:4" outlineLevel="1" x14ac:dyDescent="0.25">
      <c r="A3733" t="s">
        <v>484</v>
      </c>
      <c r="B3733" t="s">
        <v>27</v>
      </c>
      <c r="C3733" s="1" t="str">
        <f>HYPERLINK("http://продеталь.рф/search.html?article=PMN30009A","PMN30009A")</f>
        <v>PMN30009A</v>
      </c>
      <c r="D3733" t="s">
        <v>6</v>
      </c>
    </row>
    <row r="3734" spans="1:4" outlineLevel="1" x14ac:dyDescent="0.25">
      <c r="A3734" t="s">
        <v>484</v>
      </c>
      <c r="B3734" t="s">
        <v>3</v>
      </c>
      <c r="C3734" s="1" t="str">
        <f>HYPERLINK("http://продеталь.рф/search.html?article=20B112A52B","20B112A52B")</f>
        <v>20B112A52B</v>
      </c>
      <c r="D3734" t="s">
        <v>4</v>
      </c>
    </row>
    <row r="3735" spans="1:4" outlineLevel="1" x14ac:dyDescent="0.25">
      <c r="A3735" t="s">
        <v>484</v>
      </c>
      <c r="B3735" t="s">
        <v>12</v>
      </c>
      <c r="C3735" s="1" t="str">
        <f>HYPERLINK("http://продеталь.рф/search.html?article=AT07015GAN","AT07015GAN")</f>
        <v>AT07015GAN</v>
      </c>
      <c r="D3735" t="s">
        <v>2</v>
      </c>
    </row>
    <row r="3736" spans="1:4" outlineLevel="1" x14ac:dyDescent="0.25">
      <c r="A3736" t="s">
        <v>484</v>
      </c>
      <c r="B3736" t="s">
        <v>71</v>
      </c>
      <c r="C3736" s="1" t="str">
        <f>HYPERLINK("http://продеталь.рф/search.html?article=PMN02001VA","PMN02001VA")</f>
        <v>PMN02001VA</v>
      </c>
      <c r="D3736" t="s">
        <v>6</v>
      </c>
    </row>
    <row r="3737" spans="1:4" outlineLevel="1" x14ac:dyDescent="0.25">
      <c r="A3737" t="s">
        <v>484</v>
      </c>
      <c r="B3737" t="s">
        <v>71</v>
      </c>
      <c r="C3737" s="1" t="str">
        <f>HYPERLINK("http://продеталь.рф/search.html?article=PMN02001VAL","PMN02001VAL")</f>
        <v>PMN02001VAL</v>
      </c>
      <c r="D3737" t="s">
        <v>6</v>
      </c>
    </row>
    <row r="3738" spans="1:4" outlineLevel="1" x14ac:dyDescent="0.25">
      <c r="A3738" t="s">
        <v>484</v>
      </c>
      <c r="B3738" t="s">
        <v>71</v>
      </c>
      <c r="C3738" s="1" t="str">
        <f>HYPERLINK("http://продеталь.рф/search.html?article=PMN02001VAR","PMN02001VAR")</f>
        <v>PMN02001VAR</v>
      </c>
      <c r="D3738" t="s">
        <v>6</v>
      </c>
    </row>
    <row r="3739" spans="1:4" outlineLevel="1" x14ac:dyDescent="0.25">
      <c r="A3739" t="s">
        <v>484</v>
      </c>
      <c r="B3739" t="s">
        <v>16</v>
      </c>
      <c r="C3739" s="1" t="str">
        <f>HYPERLINK("http://продеталь.рф/search.html?article=185940059","185940059")</f>
        <v>185940059</v>
      </c>
      <c r="D3739" t="s">
        <v>4</v>
      </c>
    </row>
    <row r="3740" spans="1:4" outlineLevel="1" x14ac:dyDescent="0.25">
      <c r="A3740" t="s">
        <v>484</v>
      </c>
      <c r="B3740" t="s">
        <v>16</v>
      </c>
      <c r="C3740" s="1" t="str">
        <f>HYPERLINK("http://продеталь.рф/search.html?article=185939059","185939059")</f>
        <v>185939059</v>
      </c>
      <c r="D3740" t="s">
        <v>4</v>
      </c>
    </row>
    <row r="3741" spans="1:4" x14ac:dyDescent="0.25">
      <c r="A3741" t="s">
        <v>486</v>
      </c>
      <c r="B3741" s="2" t="s">
        <v>486</v>
      </c>
      <c r="C3741" s="2"/>
      <c r="D3741" s="2"/>
    </row>
    <row r="3742" spans="1:4" outlineLevel="1" x14ac:dyDescent="0.25">
      <c r="A3742" t="s">
        <v>486</v>
      </c>
      <c r="B3742" t="s">
        <v>11</v>
      </c>
      <c r="C3742" s="1" t="str">
        <f>HYPERLINK("http://продеталь.рф/search.html?article=PMB04149BAK","PMB04149BAK")</f>
        <v>PMB04149BAK</v>
      </c>
      <c r="D3742" t="s">
        <v>6</v>
      </c>
    </row>
    <row r="3743" spans="1:4" outlineLevel="1" x14ac:dyDescent="0.25">
      <c r="A3743" t="s">
        <v>486</v>
      </c>
      <c r="B3743" t="s">
        <v>3</v>
      </c>
      <c r="C3743" s="1" t="str">
        <f>HYPERLINK("http://продеталь.рф/search.html?article=ZMB1199KL","ZMB1199KL")</f>
        <v>ZMB1199KL</v>
      </c>
      <c r="D3743" t="s">
        <v>6</v>
      </c>
    </row>
    <row r="3744" spans="1:4" outlineLevel="1" x14ac:dyDescent="0.25">
      <c r="A3744" t="s">
        <v>486</v>
      </c>
      <c r="B3744" t="s">
        <v>3</v>
      </c>
      <c r="C3744" s="1" t="str">
        <f>HYPERLINK("http://продеталь.рф/search.html?article=ZMB1199KR","ZMB1199KR")</f>
        <v>ZMB1199KR</v>
      </c>
      <c r="D3744" t="s">
        <v>6</v>
      </c>
    </row>
    <row r="3745" spans="1:4" outlineLevel="1" x14ac:dyDescent="0.25">
      <c r="A3745" t="s">
        <v>486</v>
      </c>
      <c r="B3745" t="s">
        <v>19</v>
      </c>
      <c r="C3745" s="1" t="str">
        <f>HYPERLINK("http://продеталь.рф/search.html?article=ZMB2041LRK","ZMB2041LRK")</f>
        <v>ZMB2041LRK</v>
      </c>
      <c r="D3745" t="s">
        <v>6</v>
      </c>
    </row>
    <row r="3746" spans="1:4" outlineLevel="1" x14ac:dyDescent="0.25">
      <c r="A3746" t="s">
        <v>486</v>
      </c>
      <c r="B3746" t="s">
        <v>30</v>
      </c>
      <c r="C3746" s="1" t="str">
        <f>HYPERLINK("http://продеталь.рф/search.html?article=PMB99170CAL","PMB99170CAL")</f>
        <v>PMB99170CAL</v>
      </c>
      <c r="D3746" t="s">
        <v>6</v>
      </c>
    </row>
    <row r="3747" spans="1:4" outlineLevel="1" x14ac:dyDescent="0.25">
      <c r="A3747" t="s">
        <v>486</v>
      </c>
      <c r="B3747" t="s">
        <v>40</v>
      </c>
      <c r="C3747" s="1" t="str">
        <f>HYPERLINK("http://продеталь.рф/search.html?article=MB07168GAW","MB07168GAW")</f>
        <v>MB07168GAW</v>
      </c>
      <c r="D3747" t="s">
        <v>2</v>
      </c>
    </row>
    <row r="3748" spans="1:4" outlineLevel="1" x14ac:dyDescent="0.25">
      <c r="A3748" t="s">
        <v>486</v>
      </c>
      <c r="B3748" t="s">
        <v>12</v>
      </c>
      <c r="C3748" s="1" t="str">
        <f>HYPERLINK("http://продеталь.рф/search.html?article=MB07168GAU","MB07168GAU")</f>
        <v>MB07168GAU</v>
      </c>
      <c r="D3748" t="s">
        <v>2</v>
      </c>
    </row>
    <row r="3749" spans="1:4" x14ac:dyDescent="0.25">
      <c r="A3749" t="s">
        <v>487</v>
      </c>
      <c r="B3749" s="2" t="s">
        <v>487</v>
      </c>
      <c r="C3749" s="2"/>
      <c r="D3749" s="2"/>
    </row>
    <row r="3750" spans="1:4" outlineLevel="1" x14ac:dyDescent="0.25">
      <c r="A3750" t="s">
        <v>487</v>
      </c>
      <c r="B3750" t="s">
        <v>3</v>
      </c>
      <c r="C3750" s="1" t="str">
        <f>HYPERLINK("http://продеталь.рф/search.html?article=205088082","205088082")</f>
        <v>205088082</v>
      </c>
      <c r="D3750" t="s">
        <v>4</v>
      </c>
    </row>
    <row r="3751" spans="1:4" outlineLevel="1" x14ac:dyDescent="0.25">
      <c r="A3751" t="s">
        <v>487</v>
      </c>
      <c r="B3751" t="s">
        <v>5</v>
      </c>
      <c r="C3751" s="1" t="str">
        <f>HYPERLINK("http://продеталь.рф/search.html?article=MB11034AL","MB11034AL")</f>
        <v>MB11034AL</v>
      </c>
      <c r="D3751" t="s">
        <v>2</v>
      </c>
    </row>
    <row r="3752" spans="1:4" outlineLevel="1" x14ac:dyDescent="0.25">
      <c r="A3752" t="s">
        <v>487</v>
      </c>
      <c r="B3752" t="s">
        <v>5</v>
      </c>
      <c r="C3752" s="1" t="str">
        <f>HYPERLINK("http://продеталь.рф/search.html?article=MB11034AR","MB11034AR")</f>
        <v>MB11034AR</v>
      </c>
      <c r="D3752" t="s">
        <v>2</v>
      </c>
    </row>
    <row r="3753" spans="1:4" x14ac:dyDescent="0.25">
      <c r="A3753" t="s">
        <v>488</v>
      </c>
      <c r="B3753" s="2" t="s">
        <v>488</v>
      </c>
      <c r="C3753" s="2"/>
      <c r="D3753" s="2"/>
    </row>
    <row r="3754" spans="1:4" outlineLevel="1" x14ac:dyDescent="0.25">
      <c r="A3754" t="s">
        <v>488</v>
      </c>
      <c r="B3754" t="s">
        <v>1</v>
      </c>
      <c r="C3754" s="1" t="str">
        <f>HYPERLINK("http://продеталь.рф/search.html?article=DG20030A","DG20030A")</f>
        <v>DG20030A</v>
      </c>
      <c r="D3754" t="s">
        <v>2</v>
      </c>
    </row>
    <row r="3755" spans="1:4" outlineLevel="1" x14ac:dyDescent="0.25">
      <c r="A3755" t="s">
        <v>488</v>
      </c>
      <c r="B3755" t="s">
        <v>3</v>
      </c>
      <c r="C3755" s="1" t="str">
        <f>HYPERLINK("http://продеталь.рф/search.html?article=205454082","205454082")</f>
        <v>205454082</v>
      </c>
      <c r="D3755" t="s">
        <v>4</v>
      </c>
    </row>
    <row r="3756" spans="1:4" outlineLevel="1" x14ac:dyDescent="0.25">
      <c r="A3756" t="s">
        <v>488</v>
      </c>
      <c r="B3756" t="s">
        <v>3</v>
      </c>
      <c r="C3756" s="1" t="str">
        <f>HYPERLINK("http://продеталь.рф/search.html?article=205453082","205453082")</f>
        <v>205453082</v>
      </c>
      <c r="D3756" t="s">
        <v>4</v>
      </c>
    </row>
    <row r="3757" spans="1:4" outlineLevel="1" x14ac:dyDescent="0.25">
      <c r="A3757" t="s">
        <v>488</v>
      </c>
      <c r="B3757" t="s">
        <v>16</v>
      </c>
      <c r="C3757" s="1" t="str">
        <f>HYPERLINK("http://продеталь.рф/search.html?article=185283052","185283052")</f>
        <v>185283052</v>
      </c>
      <c r="D3757" t="s">
        <v>4</v>
      </c>
    </row>
    <row r="3758" spans="1:4" outlineLevel="1" x14ac:dyDescent="0.25">
      <c r="A3758" t="s">
        <v>488</v>
      </c>
      <c r="B3758" t="s">
        <v>75</v>
      </c>
      <c r="C3758" s="1" t="str">
        <f>HYPERLINK("http://продеталь.рф/search.html?article=1854050015B3","1854050015B3")</f>
        <v>1854050015B3</v>
      </c>
      <c r="D3758" t="s">
        <v>4</v>
      </c>
    </row>
    <row r="3759" spans="1:4" x14ac:dyDescent="0.25">
      <c r="A3759" t="s">
        <v>489</v>
      </c>
      <c r="B3759" s="2" t="s">
        <v>489</v>
      </c>
      <c r="C3759" s="2"/>
      <c r="D3759" s="2"/>
    </row>
    <row r="3760" spans="1:4" outlineLevel="1" x14ac:dyDescent="0.25">
      <c r="A3760" t="s">
        <v>489</v>
      </c>
      <c r="B3760" t="s">
        <v>11</v>
      </c>
      <c r="C3760" s="1" t="str">
        <f>HYPERLINK("http://продеталь.рф/search.html?article=MB04064BA","MB04064BA")</f>
        <v>MB04064BA</v>
      </c>
      <c r="D3760" t="s">
        <v>2</v>
      </c>
    </row>
    <row r="3761" spans="1:4" outlineLevel="1" x14ac:dyDescent="0.25">
      <c r="A3761" t="s">
        <v>489</v>
      </c>
      <c r="B3761" t="s">
        <v>1</v>
      </c>
      <c r="C3761" s="1" t="str">
        <f>HYPERLINK("http://продеталь.рф/search.html?article=MB15001501000","MB15001501000")</f>
        <v>MB15001501000</v>
      </c>
      <c r="D3761" t="s">
        <v>9</v>
      </c>
    </row>
    <row r="3762" spans="1:4" outlineLevel="1" x14ac:dyDescent="0.25">
      <c r="A3762" t="s">
        <v>489</v>
      </c>
      <c r="B3762" t="s">
        <v>27</v>
      </c>
      <c r="C3762" s="1" t="str">
        <f>HYPERLINK("http://продеталь.рф/search.html?article=MB15009A0","MB15009A0")</f>
        <v>MB15009A0</v>
      </c>
      <c r="D3762" t="s">
        <v>9</v>
      </c>
    </row>
    <row r="3763" spans="1:4" x14ac:dyDescent="0.25">
      <c r="A3763" t="s">
        <v>490</v>
      </c>
      <c r="B3763" s="2" t="s">
        <v>490</v>
      </c>
      <c r="C3763" s="2"/>
      <c r="D3763" s="2"/>
    </row>
    <row r="3764" spans="1:4" outlineLevel="1" x14ac:dyDescent="0.25">
      <c r="A3764" t="s">
        <v>490</v>
      </c>
      <c r="B3764" t="s">
        <v>1</v>
      </c>
      <c r="C3764" s="1" t="str">
        <f>HYPERLINK("http://продеталь.рф/search.html?article=PMB20045A","PMB20045A")</f>
        <v>PMB20045A</v>
      </c>
      <c r="D3764" t="s">
        <v>6</v>
      </c>
    </row>
    <row r="3765" spans="1:4" outlineLevel="1" x14ac:dyDescent="0.25">
      <c r="A3765" t="s">
        <v>490</v>
      </c>
      <c r="B3765" t="s">
        <v>27</v>
      </c>
      <c r="C3765" s="1" t="str">
        <f>HYPERLINK("http://продеталь.рф/search.html?article=PMB30002A","PMB30002A")</f>
        <v>PMB30002A</v>
      </c>
      <c r="D3765" t="s">
        <v>6</v>
      </c>
    </row>
    <row r="3766" spans="1:4" outlineLevel="1" x14ac:dyDescent="0.25">
      <c r="A3766" t="s">
        <v>490</v>
      </c>
      <c r="B3766" t="s">
        <v>19</v>
      </c>
      <c r="C3766" s="1" t="str">
        <f>HYPERLINK("http://продеталь.рф/search.html?article=190808019","190808019")</f>
        <v>190808019</v>
      </c>
      <c r="D3766" t="s">
        <v>4</v>
      </c>
    </row>
    <row r="3767" spans="1:4" outlineLevel="1" x14ac:dyDescent="0.25">
      <c r="A3767" t="s">
        <v>490</v>
      </c>
      <c r="B3767" t="s">
        <v>19</v>
      </c>
      <c r="C3767" s="1" t="str">
        <f>HYPERLINK("http://продеталь.рф/search.html?article=190807019","190807019")</f>
        <v>190807019</v>
      </c>
      <c r="D3767" t="s">
        <v>4</v>
      </c>
    </row>
    <row r="3768" spans="1:4" outlineLevel="1" x14ac:dyDescent="0.25">
      <c r="A3768" t="s">
        <v>490</v>
      </c>
      <c r="B3768" t="s">
        <v>263</v>
      </c>
      <c r="C3768" s="1" t="str">
        <f>HYPERLINK("http://продеталь.рф/search.html?article=PMB30002AL","PMB30002AL")</f>
        <v>PMB30002AL</v>
      </c>
      <c r="D3768" t="s">
        <v>6</v>
      </c>
    </row>
    <row r="3769" spans="1:4" outlineLevel="1" x14ac:dyDescent="0.25">
      <c r="A3769" t="s">
        <v>490</v>
      </c>
      <c r="B3769" t="s">
        <v>12</v>
      </c>
      <c r="C3769" s="1" t="str">
        <f>HYPERLINK("http://продеталь.рф/search.html?article=NDB1332111","NDB1332111")</f>
        <v>NDB1332111</v>
      </c>
      <c r="D3769" t="s">
        <v>2</v>
      </c>
    </row>
    <row r="3770" spans="1:4" outlineLevel="1" x14ac:dyDescent="0.25">
      <c r="A3770" t="s">
        <v>490</v>
      </c>
      <c r="B3770" t="s">
        <v>12</v>
      </c>
      <c r="C3770" s="1" t="str">
        <f>HYPERLINK("http://продеталь.рф/search.html?article=NDB1332112","NDB1332112")</f>
        <v>NDB1332112</v>
      </c>
      <c r="D3770" t="s">
        <v>2</v>
      </c>
    </row>
    <row r="3771" spans="1:4" outlineLevel="1" x14ac:dyDescent="0.25">
      <c r="A3771" t="s">
        <v>490</v>
      </c>
      <c r="B3771" t="s">
        <v>13</v>
      </c>
      <c r="C3771" s="1" t="str">
        <f>HYPERLINK("http://продеталь.рф/search.html?article=MB44137A","MB44137A")</f>
        <v>MB44137A</v>
      </c>
      <c r="D3771" t="s">
        <v>2</v>
      </c>
    </row>
    <row r="3772" spans="1:4" x14ac:dyDescent="0.25">
      <c r="A3772" t="s">
        <v>491</v>
      </c>
      <c r="B3772" s="2" t="s">
        <v>491</v>
      </c>
      <c r="C3772" s="2"/>
      <c r="D3772" s="2"/>
    </row>
    <row r="3773" spans="1:4" outlineLevel="1" x14ac:dyDescent="0.25">
      <c r="A3773" t="s">
        <v>491</v>
      </c>
      <c r="B3773" t="s">
        <v>159</v>
      </c>
      <c r="C3773" s="1" t="str">
        <f>HYPERLINK("http://продеталь.рф/search.html?article=682MBC008","682MBC008")</f>
        <v>682MBC008</v>
      </c>
      <c r="D3773" t="s">
        <v>4</v>
      </c>
    </row>
    <row r="3774" spans="1:4" x14ac:dyDescent="0.25">
      <c r="A3774" t="s">
        <v>492</v>
      </c>
      <c r="B3774" s="2" t="s">
        <v>492</v>
      </c>
      <c r="C3774" s="2"/>
      <c r="D3774" s="2"/>
    </row>
    <row r="3775" spans="1:4" outlineLevel="1" x14ac:dyDescent="0.25">
      <c r="A3775" t="s">
        <v>492</v>
      </c>
      <c r="B3775" t="s">
        <v>11</v>
      </c>
      <c r="C3775" s="1" t="str">
        <f>HYPERLINK("http://продеталь.рф/search.html?article=MB380000","MB380000")</f>
        <v>MB380000</v>
      </c>
      <c r="D3775" t="s">
        <v>9</v>
      </c>
    </row>
    <row r="3776" spans="1:4" outlineLevel="1" x14ac:dyDescent="0.25">
      <c r="A3776" t="s">
        <v>492</v>
      </c>
      <c r="B3776" t="s">
        <v>11</v>
      </c>
      <c r="C3776" s="1" t="str">
        <f>HYPERLINK("http://продеталь.рф/search.html?article=MB04113BA","MB04113BA")</f>
        <v>MB04113BA</v>
      </c>
      <c r="D3776" t="s">
        <v>2</v>
      </c>
    </row>
    <row r="3777" spans="1:4" outlineLevel="1" x14ac:dyDescent="0.25">
      <c r="A3777" t="s">
        <v>492</v>
      </c>
      <c r="B3777" t="s">
        <v>15</v>
      </c>
      <c r="C3777" s="1" t="str">
        <f>HYPERLINK("http://продеталь.рф/search.html?article=6510032","6510032")</f>
        <v>6510032</v>
      </c>
      <c r="D3777" t="s">
        <v>4</v>
      </c>
    </row>
    <row r="3778" spans="1:4" outlineLevel="1" x14ac:dyDescent="0.25">
      <c r="A3778" t="s">
        <v>492</v>
      </c>
      <c r="B3778" t="s">
        <v>15</v>
      </c>
      <c r="C3778" s="1" t="str">
        <f>HYPERLINK("http://продеталь.рф/search.html?article=6510031","6510031")</f>
        <v>6510031</v>
      </c>
      <c r="D3778" t="s">
        <v>4</v>
      </c>
    </row>
    <row r="3779" spans="1:4" outlineLevel="1" x14ac:dyDescent="0.25">
      <c r="A3779" t="s">
        <v>492</v>
      </c>
      <c r="B3779" t="s">
        <v>1</v>
      </c>
      <c r="C3779" s="1" t="str">
        <f>HYPERLINK("http://продеталь.рф/search.html?article=MB20030A","MB20030A")</f>
        <v>MB20030A</v>
      </c>
      <c r="D3779" t="s">
        <v>2</v>
      </c>
    </row>
    <row r="3780" spans="1:4" outlineLevel="1" x14ac:dyDescent="0.25">
      <c r="A3780" t="s">
        <v>492</v>
      </c>
      <c r="B3780" t="s">
        <v>24</v>
      </c>
      <c r="C3780" s="1" t="str">
        <f>HYPERLINK("http://продеталь.рф/search.html?article=MB10045AL","MB10045AL")</f>
        <v>MB10045AL</v>
      </c>
      <c r="D3780" t="s">
        <v>2</v>
      </c>
    </row>
    <row r="3781" spans="1:4" outlineLevel="1" x14ac:dyDescent="0.25">
      <c r="A3781" t="s">
        <v>492</v>
      </c>
      <c r="B3781" t="s">
        <v>27</v>
      </c>
      <c r="C3781" s="1" t="str">
        <f>HYPERLINK("http://продеталь.рф/search.html?article=MB380090","MB380090")</f>
        <v>MB380090</v>
      </c>
      <c r="D3781" t="s">
        <v>9</v>
      </c>
    </row>
    <row r="3782" spans="1:4" outlineLevel="1" x14ac:dyDescent="0.25">
      <c r="A3782" t="s">
        <v>492</v>
      </c>
      <c r="B3782" t="s">
        <v>3</v>
      </c>
      <c r="C3782" s="1" t="str">
        <f>HYPERLINK("http://продеталь.рф/search.html?article=20579490","20579490")</f>
        <v>20579490</v>
      </c>
      <c r="D3782" t="s">
        <v>4</v>
      </c>
    </row>
    <row r="3783" spans="1:4" outlineLevel="1" x14ac:dyDescent="0.25">
      <c r="A3783" t="s">
        <v>492</v>
      </c>
      <c r="B3783" t="s">
        <v>3</v>
      </c>
      <c r="C3783" s="1" t="str">
        <f>HYPERLINK("http://продеталь.рф/search.html?article=205794001A","205794001A")</f>
        <v>205794001A</v>
      </c>
      <c r="D3783" t="s">
        <v>4</v>
      </c>
    </row>
    <row r="3784" spans="1:4" outlineLevel="1" x14ac:dyDescent="0.25">
      <c r="A3784" t="s">
        <v>492</v>
      </c>
      <c r="B3784" t="s">
        <v>3</v>
      </c>
      <c r="C3784" s="1" t="str">
        <f>HYPERLINK("http://продеталь.рф/search.html?article=205793051A","205793051A")</f>
        <v>205793051A</v>
      </c>
      <c r="D3784" t="s">
        <v>4</v>
      </c>
    </row>
    <row r="3785" spans="1:4" outlineLevel="1" x14ac:dyDescent="0.25">
      <c r="A3785" t="s">
        <v>492</v>
      </c>
      <c r="B3785" t="s">
        <v>5</v>
      </c>
      <c r="C3785" s="1" t="str">
        <f>HYPERLINK("http://продеталь.рф/search.html?article=PMB11047AL","PMB11047AL")</f>
        <v>PMB11047AL</v>
      </c>
      <c r="D3785" t="s">
        <v>6</v>
      </c>
    </row>
    <row r="3786" spans="1:4" outlineLevel="1" x14ac:dyDescent="0.25">
      <c r="A3786" t="s">
        <v>492</v>
      </c>
      <c r="B3786" t="s">
        <v>64</v>
      </c>
      <c r="C3786" s="1" t="str">
        <f>HYPERLINK("http://продеталь.рф/search.html?article=125134001A","125134001A")</f>
        <v>125134001A</v>
      </c>
      <c r="D3786" t="s">
        <v>4</v>
      </c>
    </row>
    <row r="3787" spans="1:4" outlineLevel="1" x14ac:dyDescent="0.25">
      <c r="A3787" t="s">
        <v>492</v>
      </c>
      <c r="B3787" t="s">
        <v>64</v>
      </c>
      <c r="C3787" s="1" t="str">
        <f>HYPERLINK("http://продеталь.рф/search.html?article=125133001A","125133001A")</f>
        <v>125133001A</v>
      </c>
      <c r="D3787" t="s">
        <v>4</v>
      </c>
    </row>
    <row r="3788" spans="1:4" outlineLevel="1" x14ac:dyDescent="0.25">
      <c r="A3788" t="s">
        <v>492</v>
      </c>
      <c r="B3788" t="s">
        <v>13</v>
      </c>
      <c r="C3788" s="1" t="str">
        <f>HYPERLINK("http://продеталь.рф/search.html?article=MB380000R0000","MB380000R0000")</f>
        <v>MB380000R0000</v>
      </c>
      <c r="D3788" t="s">
        <v>9</v>
      </c>
    </row>
    <row r="3789" spans="1:4" x14ac:dyDescent="0.25">
      <c r="A3789" t="s">
        <v>493</v>
      </c>
      <c r="B3789" s="2" t="s">
        <v>493</v>
      </c>
      <c r="C3789" s="2"/>
      <c r="D3789" s="2"/>
    </row>
    <row r="3790" spans="1:4" outlineLevel="1" x14ac:dyDescent="0.25">
      <c r="A3790" t="s">
        <v>493</v>
      </c>
      <c r="B3790" t="s">
        <v>27</v>
      </c>
      <c r="C3790" s="1" t="str">
        <f>HYPERLINK("http://продеталь.рф/search.html?article=MB390009U0L00","MB390009U0L00")</f>
        <v>MB390009U0L00</v>
      </c>
      <c r="D3790" t="s">
        <v>9</v>
      </c>
    </row>
    <row r="3791" spans="1:4" outlineLevel="1" x14ac:dyDescent="0.25">
      <c r="A3791" t="s">
        <v>493</v>
      </c>
      <c r="B3791" t="s">
        <v>361</v>
      </c>
      <c r="C3791" s="1" t="str">
        <f>HYPERLINK("http://продеталь.рф/search.html?article=MB44125A","MB44125A")</f>
        <v>MB44125A</v>
      </c>
      <c r="D3791" t="s">
        <v>2</v>
      </c>
    </row>
    <row r="3792" spans="1:4" x14ac:dyDescent="0.25">
      <c r="A3792" t="s">
        <v>494</v>
      </c>
      <c r="B3792" s="2" t="s">
        <v>494</v>
      </c>
      <c r="C3792" s="2"/>
      <c r="D3792" s="2"/>
    </row>
    <row r="3793" spans="1:4" outlineLevel="1" x14ac:dyDescent="0.25">
      <c r="A3793" t="s">
        <v>494</v>
      </c>
      <c r="B3793" t="s">
        <v>1</v>
      </c>
      <c r="C3793" s="1" t="str">
        <f>HYPERLINK("http://продеталь.рф/search.html?article=MB20013A","MB20013A")</f>
        <v>MB20013A</v>
      </c>
      <c r="D3793" t="s">
        <v>2</v>
      </c>
    </row>
    <row r="3794" spans="1:4" outlineLevel="1" x14ac:dyDescent="0.25">
      <c r="A3794" t="s">
        <v>494</v>
      </c>
      <c r="B3794" t="s">
        <v>50</v>
      </c>
      <c r="C3794" s="1" t="str">
        <f>HYPERLINK("http://продеталь.рф/search.html?article=MB33101100000","MB33101100000")</f>
        <v>MB33101100000</v>
      </c>
      <c r="D3794" t="s">
        <v>9</v>
      </c>
    </row>
    <row r="3795" spans="1:4" x14ac:dyDescent="0.25">
      <c r="A3795" t="s">
        <v>495</v>
      </c>
      <c r="B3795" s="2" t="s">
        <v>495</v>
      </c>
      <c r="C3795" s="2"/>
      <c r="D3795" s="2"/>
    </row>
    <row r="3796" spans="1:4" outlineLevel="1" x14ac:dyDescent="0.25">
      <c r="A3796" t="s">
        <v>495</v>
      </c>
      <c r="B3796" t="s">
        <v>3</v>
      </c>
      <c r="C3796" s="1" t="str">
        <f>HYPERLINK("http://продеталь.рф/search.html?article=201945016","201945016")</f>
        <v>201945016</v>
      </c>
      <c r="D3796" t="s">
        <v>4</v>
      </c>
    </row>
    <row r="3797" spans="1:4" outlineLevel="1" x14ac:dyDescent="0.25">
      <c r="A3797" t="s">
        <v>495</v>
      </c>
      <c r="B3797" t="s">
        <v>3</v>
      </c>
      <c r="C3797" s="1" t="str">
        <f>HYPERLINK("http://продеталь.рф/search.html?article=201944016","201944016")</f>
        <v>201944016</v>
      </c>
      <c r="D3797" t="s">
        <v>4</v>
      </c>
    </row>
    <row r="3798" spans="1:4" outlineLevel="1" x14ac:dyDescent="0.25">
      <c r="A3798" t="s">
        <v>495</v>
      </c>
      <c r="B3798" t="s">
        <v>5</v>
      </c>
      <c r="C3798" s="1" t="str">
        <f>HYPERLINK("http://продеталь.рф/search.html?article=MB11027AR","MB11027AR")</f>
        <v>MB11027AR</v>
      </c>
      <c r="D3798" t="s">
        <v>2</v>
      </c>
    </row>
    <row r="3799" spans="1:4" outlineLevel="1" x14ac:dyDescent="0.25">
      <c r="A3799" t="s">
        <v>495</v>
      </c>
      <c r="B3799" t="s">
        <v>19</v>
      </c>
      <c r="C3799" s="1" t="str">
        <f>HYPERLINK("http://продеталь.рф/search.html?article=191134002","191134002")</f>
        <v>191134002</v>
      </c>
      <c r="D3799" t="s">
        <v>4</v>
      </c>
    </row>
    <row r="3800" spans="1:4" outlineLevel="1" x14ac:dyDescent="0.25">
      <c r="A3800" t="s">
        <v>495</v>
      </c>
      <c r="B3800" t="s">
        <v>19</v>
      </c>
      <c r="C3800" s="1" t="str">
        <f>HYPERLINK("http://продеталь.рф/search.html?article=191133002","191133002")</f>
        <v>191133002</v>
      </c>
      <c r="D3800" t="s">
        <v>4</v>
      </c>
    </row>
    <row r="3801" spans="1:4" outlineLevel="1" x14ac:dyDescent="0.25">
      <c r="A3801" t="s">
        <v>495</v>
      </c>
      <c r="B3801" t="s">
        <v>276</v>
      </c>
      <c r="C3801" s="1" t="str">
        <f>HYPERLINK("http://продеталь.рф/search.html?article=SMB2001L","SMB2001L")</f>
        <v>SMB2001L</v>
      </c>
      <c r="D3801" t="s">
        <v>63</v>
      </c>
    </row>
    <row r="3802" spans="1:4" outlineLevel="1" x14ac:dyDescent="0.25">
      <c r="A3802" t="s">
        <v>495</v>
      </c>
      <c r="B3802" t="s">
        <v>496</v>
      </c>
      <c r="C3802" s="1" t="str">
        <f>HYPERLINK("http://продеталь.рф/search.html?article=SMB2001R","SMB2001R")</f>
        <v>SMB2001R</v>
      </c>
      <c r="D3802" t="s">
        <v>63</v>
      </c>
    </row>
    <row r="3803" spans="1:4" outlineLevel="1" x14ac:dyDescent="0.25">
      <c r="A3803" t="s">
        <v>495</v>
      </c>
      <c r="B3803" t="s">
        <v>16</v>
      </c>
      <c r="C3803" s="1" t="str">
        <f>HYPERLINK("http://продеталь.рф/search.html?article=183011016","183011016")</f>
        <v>183011016</v>
      </c>
      <c r="D3803" t="s">
        <v>4</v>
      </c>
    </row>
    <row r="3804" spans="1:4" outlineLevel="1" x14ac:dyDescent="0.25">
      <c r="A3804" t="s">
        <v>495</v>
      </c>
      <c r="B3804" t="s">
        <v>16</v>
      </c>
      <c r="C3804" s="1" t="str">
        <f>HYPERLINK("http://продеталь.рф/search.html?article=183010016","183010016")</f>
        <v>183010016</v>
      </c>
      <c r="D3804" t="s">
        <v>4</v>
      </c>
    </row>
    <row r="3805" spans="1:4" x14ac:dyDescent="0.25">
      <c r="A3805" t="s">
        <v>497</v>
      </c>
      <c r="B3805" s="2" t="s">
        <v>497</v>
      </c>
      <c r="C3805" s="2"/>
      <c r="D3805" s="2"/>
    </row>
    <row r="3806" spans="1:4" outlineLevel="1" x14ac:dyDescent="0.25">
      <c r="A3806" t="s">
        <v>497</v>
      </c>
      <c r="B3806" t="s">
        <v>11</v>
      </c>
      <c r="C3806" s="1" t="str">
        <f>HYPERLINK("http://продеталь.рф/search.html?article=MB04061BB","MB04061BB")</f>
        <v>MB04061BB</v>
      </c>
      <c r="D3806" t="s">
        <v>2</v>
      </c>
    </row>
    <row r="3807" spans="1:4" outlineLevel="1" x14ac:dyDescent="0.25">
      <c r="A3807" t="s">
        <v>497</v>
      </c>
      <c r="B3807" t="s">
        <v>11</v>
      </c>
      <c r="C3807" s="1" t="str">
        <f>HYPERLINK("http://продеталь.рф/search.html?article=MB04072BA","MB04072BA")</f>
        <v>MB04072BA</v>
      </c>
      <c r="D3807" t="s">
        <v>2</v>
      </c>
    </row>
    <row r="3808" spans="1:4" outlineLevel="1" x14ac:dyDescent="0.25">
      <c r="A3808" t="s">
        <v>497</v>
      </c>
      <c r="B3808" t="s">
        <v>15</v>
      </c>
      <c r="C3808" s="1" t="str">
        <f>HYPERLINK("http://продеталь.рф/search.html?article=6530032","6530032")</f>
        <v>6530032</v>
      </c>
      <c r="D3808" t="s">
        <v>4</v>
      </c>
    </row>
    <row r="3809" spans="1:4" outlineLevel="1" x14ac:dyDescent="0.25">
      <c r="A3809" t="s">
        <v>497</v>
      </c>
      <c r="B3809" t="s">
        <v>23</v>
      </c>
      <c r="C3809" s="1" t="str">
        <f>HYPERLINK("http://продеталь.рф/search.html?article=113380016","113380016")</f>
        <v>113380016</v>
      </c>
      <c r="D3809" t="s">
        <v>4</v>
      </c>
    </row>
    <row r="3810" spans="1:4" outlineLevel="1" x14ac:dyDescent="0.25">
      <c r="A3810" t="s">
        <v>497</v>
      </c>
      <c r="B3810" t="s">
        <v>23</v>
      </c>
      <c r="C3810" s="1" t="str">
        <f>HYPERLINK("http://продеталь.рф/search.html?article=115937001A","115937001A")</f>
        <v>115937001A</v>
      </c>
      <c r="D3810" t="s">
        <v>4</v>
      </c>
    </row>
    <row r="3811" spans="1:4" outlineLevel="1" x14ac:dyDescent="0.25">
      <c r="A3811" t="s">
        <v>497</v>
      </c>
      <c r="B3811" t="s">
        <v>331</v>
      </c>
      <c r="C3811" s="1" t="str">
        <f>HYPERLINK("http://продеталь.рф/search.html?article=MB22025B","MB22025B")</f>
        <v>MB22025B</v>
      </c>
      <c r="D3811" t="s">
        <v>2</v>
      </c>
    </row>
    <row r="3812" spans="1:4" outlineLevel="1" x14ac:dyDescent="0.25">
      <c r="A3812" t="s">
        <v>497</v>
      </c>
      <c r="B3812" t="s">
        <v>35</v>
      </c>
      <c r="C3812" s="1" t="str">
        <f>HYPERLINK("http://продеталь.рф/search.html?article=MB33002AL","MB33002AL")</f>
        <v>MB33002AL</v>
      </c>
      <c r="D3812" t="s">
        <v>2</v>
      </c>
    </row>
    <row r="3813" spans="1:4" outlineLevel="1" x14ac:dyDescent="0.25">
      <c r="A3813" t="s">
        <v>497</v>
      </c>
      <c r="B3813" t="s">
        <v>1</v>
      </c>
      <c r="C3813" s="1" t="str">
        <f>HYPERLINK("http://продеталь.рф/search.html?article=MBX40150","MBX40150")</f>
        <v>MBX40150</v>
      </c>
      <c r="D3813" t="s">
        <v>9</v>
      </c>
    </row>
    <row r="3814" spans="1:4" outlineLevel="1" x14ac:dyDescent="0.25">
      <c r="A3814" t="s">
        <v>497</v>
      </c>
      <c r="B3814" t="s">
        <v>24</v>
      </c>
      <c r="C3814" s="1" t="str">
        <f>HYPERLINK("http://продеталь.рф/search.html?article=MB10036AL","MB10036AL")</f>
        <v>MB10036AL</v>
      </c>
      <c r="D3814" t="s">
        <v>2</v>
      </c>
    </row>
    <row r="3815" spans="1:4" outlineLevel="1" x14ac:dyDescent="0.25">
      <c r="A3815" t="s">
        <v>497</v>
      </c>
      <c r="B3815" t="s">
        <v>24</v>
      </c>
      <c r="C3815" s="1" t="str">
        <f>HYPERLINK("http://продеталь.рф/search.html?article=MBX4016A2","MBX4016A2")</f>
        <v>MBX4016A2</v>
      </c>
      <c r="D3815" t="s">
        <v>9</v>
      </c>
    </row>
    <row r="3816" spans="1:4" outlineLevel="1" x14ac:dyDescent="0.25">
      <c r="A3816" t="s">
        <v>497</v>
      </c>
      <c r="B3816" t="s">
        <v>24</v>
      </c>
      <c r="C3816" s="1" t="str">
        <f>HYPERLINK("http://продеталь.рф/search.html?article=MBX4016A1","MBX4016A1")</f>
        <v>MBX4016A1</v>
      </c>
      <c r="D3816" t="s">
        <v>9</v>
      </c>
    </row>
    <row r="3817" spans="1:4" outlineLevel="1" x14ac:dyDescent="0.25">
      <c r="A3817" t="s">
        <v>497</v>
      </c>
      <c r="B3817" t="s">
        <v>185</v>
      </c>
      <c r="C3817" s="1" t="str">
        <f>HYPERLINK("http://продеталь.рф/search.html?article=MB334000T1000","MB334000T1000")</f>
        <v>MB334000T1000</v>
      </c>
      <c r="D3817" t="s">
        <v>9</v>
      </c>
    </row>
    <row r="3818" spans="1:4" outlineLevel="1" x14ac:dyDescent="0.25">
      <c r="A3818" t="s">
        <v>497</v>
      </c>
      <c r="B3818" t="s">
        <v>27</v>
      </c>
      <c r="C3818" s="1" t="str">
        <f>HYPERLINK("http://продеталь.рф/search.html?article=MB33400902000","MB33400902000")</f>
        <v>MB33400902000</v>
      </c>
      <c r="D3818" t="s">
        <v>9</v>
      </c>
    </row>
    <row r="3819" spans="1:4" outlineLevel="1" x14ac:dyDescent="0.25">
      <c r="A3819" t="s">
        <v>497</v>
      </c>
      <c r="B3819" t="s">
        <v>3</v>
      </c>
      <c r="C3819" s="1" t="str">
        <f>HYPERLINK("http://продеталь.рф/search.html?article=203764016","203764016")</f>
        <v>203764016</v>
      </c>
      <c r="D3819" t="s">
        <v>4</v>
      </c>
    </row>
    <row r="3820" spans="1:4" outlineLevel="1" x14ac:dyDescent="0.25">
      <c r="A3820" t="s">
        <v>497</v>
      </c>
      <c r="B3820" t="s">
        <v>3</v>
      </c>
      <c r="C3820" s="1" t="str">
        <f>HYPERLINK("http://продеталь.рф/search.html?article=203763016","203763016")</f>
        <v>203763016</v>
      </c>
      <c r="D3820" t="s">
        <v>4</v>
      </c>
    </row>
    <row r="3821" spans="1:4" outlineLevel="1" x14ac:dyDescent="0.25">
      <c r="A3821" t="s">
        <v>497</v>
      </c>
      <c r="B3821" t="s">
        <v>3</v>
      </c>
      <c r="C3821" s="1" t="str">
        <f>HYPERLINK("http://продеталь.рф/search.html?article=20585000","20585000")</f>
        <v>20585000</v>
      </c>
      <c r="D3821" t="s">
        <v>4</v>
      </c>
    </row>
    <row r="3822" spans="1:4" outlineLevel="1" x14ac:dyDescent="0.25">
      <c r="A3822" t="s">
        <v>497</v>
      </c>
      <c r="B3822" t="s">
        <v>3</v>
      </c>
      <c r="C3822" s="1" t="str">
        <f>HYPERLINK("http://продеталь.рф/search.html?article=20584900","20584900")</f>
        <v>20584900</v>
      </c>
      <c r="D3822" t="s">
        <v>4</v>
      </c>
    </row>
    <row r="3823" spans="1:4" outlineLevel="1" x14ac:dyDescent="0.25">
      <c r="A3823" t="s">
        <v>497</v>
      </c>
      <c r="B3823" t="s">
        <v>3</v>
      </c>
      <c r="C3823" s="1" t="str">
        <f>HYPERLINK("http://продеталь.рф/search.html?article=20584990","20584990")</f>
        <v>20584990</v>
      </c>
      <c r="D3823" t="s">
        <v>4</v>
      </c>
    </row>
    <row r="3824" spans="1:4" outlineLevel="1" x14ac:dyDescent="0.25">
      <c r="A3824" t="s">
        <v>497</v>
      </c>
      <c r="B3824" t="s">
        <v>5</v>
      </c>
      <c r="C3824" s="1" t="str">
        <f>HYPERLINK("http://продеталь.рф/search.html?article=MB11044BR","MB11044BR")</f>
        <v>MB11044BR</v>
      </c>
      <c r="D3824" t="s">
        <v>2</v>
      </c>
    </row>
    <row r="3825" spans="1:4" outlineLevel="1" x14ac:dyDescent="0.25">
      <c r="A3825" t="s">
        <v>497</v>
      </c>
      <c r="B3825" t="s">
        <v>5</v>
      </c>
      <c r="C3825" s="1" t="str">
        <f>HYPERLINK("http://продеталь.рф/search.html?article=MB11044CL","MB11044CL")</f>
        <v>MB11044CL</v>
      </c>
      <c r="D3825" t="s">
        <v>2</v>
      </c>
    </row>
    <row r="3826" spans="1:4" outlineLevel="1" x14ac:dyDescent="0.25">
      <c r="A3826" t="s">
        <v>497</v>
      </c>
      <c r="B3826" t="s">
        <v>5</v>
      </c>
      <c r="C3826" s="1" t="str">
        <f>HYPERLINK("http://продеталь.рф/search.html?article=MB11044CR","MB11044CR")</f>
        <v>MB11044CR</v>
      </c>
      <c r="D3826" t="s">
        <v>2</v>
      </c>
    </row>
    <row r="3827" spans="1:4" outlineLevel="1" x14ac:dyDescent="0.25">
      <c r="A3827" t="s">
        <v>497</v>
      </c>
      <c r="B3827" t="s">
        <v>5</v>
      </c>
      <c r="C3827" s="1" t="str">
        <f>HYPERLINK("http://продеталь.рф/search.html?article=MB334016L3L00","MB334016L3L00")</f>
        <v>MB334016L3L00</v>
      </c>
      <c r="D3827" t="s">
        <v>9</v>
      </c>
    </row>
    <row r="3828" spans="1:4" outlineLevel="1" x14ac:dyDescent="0.25">
      <c r="A3828" t="s">
        <v>497</v>
      </c>
      <c r="B3828" t="s">
        <v>5</v>
      </c>
      <c r="C3828" s="1" t="str">
        <f>HYPERLINK("http://продеталь.рф/search.html?article=MB334016L3R00","MB334016L3R00")</f>
        <v>MB334016L3R00</v>
      </c>
      <c r="D3828" t="s">
        <v>9</v>
      </c>
    </row>
    <row r="3829" spans="1:4" outlineLevel="1" x14ac:dyDescent="0.25">
      <c r="A3829" t="s">
        <v>497</v>
      </c>
      <c r="B3829" t="s">
        <v>19</v>
      </c>
      <c r="C3829" s="1" t="str">
        <f>HYPERLINK("http://продеталь.рф/search.html?article=1952800005B1","1952800005B1")</f>
        <v>1952800005B1</v>
      </c>
      <c r="D3829" t="s">
        <v>4</v>
      </c>
    </row>
    <row r="3830" spans="1:4" outlineLevel="1" x14ac:dyDescent="0.25">
      <c r="A3830" t="s">
        <v>497</v>
      </c>
      <c r="B3830" t="s">
        <v>19</v>
      </c>
      <c r="C3830" s="1" t="str">
        <f>HYPERLINK("http://продеталь.рф/search.html?article=1955990005B1","1955990005B1")</f>
        <v>1955990005B1</v>
      </c>
      <c r="D3830" t="s">
        <v>4</v>
      </c>
    </row>
    <row r="3831" spans="1:4" outlineLevel="1" x14ac:dyDescent="0.25">
      <c r="A3831" t="s">
        <v>497</v>
      </c>
      <c r="B3831" t="s">
        <v>28</v>
      </c>
      <c r="C3831" s="1" t="str">
        <f>HYPERLINK("http://продеталь.рф/search.html?article=242869","242869")</f>
        <v>242869</v>
      </c>
      <c r="D3831" t="s">
        <v>135</v>
      </c>
    </row>
    <row r="3832" spans="1:4" outlineLevel="1" x14ac:dyDescent="0.25">
      <c r="A3832" t="s">
        <v>497</v>
      </c>
      <c r="B3832" t="s">
        <v>8</v>
      </c>
      <c r="C3832" s="1" t="str">
        <f>HYPERLINK("http://продеталь.рф/search.html?article=RC94491","RC94491")</f>
        <v>RC94491</v>
      </c>
      <c r="D3832" t="s">
        <v>2</v>
      </c>
    </row>
    <row r="3833" spans="1:4" outlineLevel="1" x14ac:dyDescent="0.25">
      <c r="A3833" t="s">
        <v>497</v>
      </c>
      <c r="B3833" t="s">
        <v>12</v>
      </c>
      <c r="C3833" s="1" t="str">
        <f>HYPERLINK("http://продеталь.рф/search.html?article=MB07116GBL","MB07116GBL")</f>
        <v>MB07116GBL</v>
      </c>
      <c r="D3833" t="s">
        <v>2</v>
      </c>
    </row>
    <row r="3834" spans="1:4" outlineLevel="1" x14ac:dyDescent="0.25">
      <c r="A3834" t="s">
        <v>497</v>
      </c>
      <c r="B3834" t="s">
        <v>12</v>
      </c>
      <c r="C3834" s="1" t="str">
        <f>HYPERLINK("http://продеталь.рф/search.html?article=MB07116GBR","MB07116GBR")</f>
        <v>MB07116GBR</v>
      </c>
      <c r="D3834" t="s">
        <v>2</v>
      </c>
    </row>
    <row r="3835" spans="1:4" outlineLevel="1" x14ac:dyDescent="0.25">
      <c r="A3835" t="s">
        <v>497</v>
      </c>
      <c r="B3835" t="s">
        <v>16</v>
      </c>
      <c r="C3835" s="1" t="str">
        <f>HYPERLINK("http://продеталь.рф/search.html?article=183616052","183616052")</f>
        <v>183616052</v>
      </c>
      <c r="D3835" t="s">
        <v>4</v>
      </c>
    </row>
    <row r="3836" spans="1:4" outlineLevel="1" x14ac:dyDescent="0.25">
      <c r="A3836" t="s">
        <v>497</v>
      </c>
      <c r="B3836" t="s">
        <v>16</v>
      </c>
      <c r="C3836" s="1" t="str">
        <f>HYPERLINK("http://продеталь.рф/search.html?article=183615052","183615052")</f>
        <v>183615052</v>
      </c>
      <c r="D3836" t="s">
        <v>4</v>
      </c>
    </row>
    <row r="3837" spans="1:4" outlineLevel="1" x14ac:dyDescent="0.25">
      <c r="A3837" t="s">
        <v>497</v>
      </c>
      <c r="B3837" t="s">
        <v>13</v>
      </c>
      <c r="C3837" s="1" t="str">
        <f>HYPERLINK("http://продеталь.рф/search.html?article=MB334000R0000","MB334000R0000")</f>
        <v>MB334000R0000</v>
      </c>
      <c r="D3837" t="s">
        <v>9</v>
      </c>
    </row>
    <row r="3838" spans="1:4" x14ac:dyDescent="0.25">
      <c r="A3838" t="s">
        <v>498</v>
      </c>
      <c r="B3838" s="2" t="s">
        <v>498</v>
      </c>
      <c r="C3838" s="2"/>
      <c r="D3838" s="2"/>
    </row>
    <row r="3839" spans="1:4" outlineLevel="1" x14ac:dyDescent="0.25">
      <c r="A3839" t="s">
        <v>498</v>
      </c>
      <c r="B3839" t="s">
        <v>11</v>
      </c>
      <c r="C3839" s="1" t="str">
        <f>HYPERLINK("http://продеталь.рф/search.html?article=MB04126BB","MB04126BB")</f>
        <v>MB04126BB</v>
      </c>
      <c r="D3839" t="s">
        <v>2</v>
      </c>
    </row>
    <row r="3840" spans="1:4" outlineLevel="1" x14ac:dyDescent="0.25">
      <c r="A3840" t="s">
        <v>498</v>
      </c>
      <c r="B3840" t="s">
        <v>15</v>
      </c>
      <c r="C3840" s="1" t="str">
        <f>HYPERLINK("http://продеталь.рф/search.html?article=MBM1046BL","MBM1046BL")</f>
        <v>MBM1046BL</v>
      </c>
      <c r="D3840" t="s">
        <v>2</v>
      </c>
    </row>
    <row r="3841" spans="1:4" outlineLevel="1" x14ac:dyDescent="0.25">
      <c r="A3841" t="s">
        <v>498</v>
      </c>
      <c r="B3841" t="s">
        <v>79</v>
      </c>
      <c r="C3841" s="1" t="str">
        <f>HYPERLINK("http://продеталь.рф/search.html?article=MBX5004A0","MBX5004A0")</f>
        <v>MBX5004A0</v>
      </c>
      <c r="D3841" t="s">
        <v>9</v>
      </c>
    </row>
    <row r="3842" spans="1:4" outlineLevel="1" x14ac:dyDescent="0.25">
      <c r="A3842" t="s">
        <v>498</v>
      </c>
      <c r="B3842" t="s">
        <v>1</v>
      </c>
      <c r="C3842" s="1" t="str">
        <f>HYPERLINK("http://продеталь.рф/search.html?article=MBX50150","MBX50150")</f>
        <v>MBX50150</v>
      </c>
      <c r="D3842" t="s">
        <v>9</v>
      </c>
    </row>
    <row r="3843" spans="1:4" outlineLevel="1" x14ac:dyDescent="0.25">
      <c r="A3843" t="s">
        <v>498</v>
      </c>
      <c r="B3843" t="s">
        <v>27</v>
      </c>
      <c r="C3843" s="1" t="str">
        <f>HYPERLINK("http://продеталь.рф/search.html?article=MB335009S0L00","MB335009S0L00")</f>
        <v>MB335009S0L00</v>
      </c>
      <c r="D3843" t="s">
        <v>9</v>
      </c>
    </row>
    <row r="3844" spans="1:4" outlineLevel="1" x14ac:dyDescent="0.25">
      <c r="A3844" t="s">
        <v>498</v>
      </c>
      <c r="B3844" t="s">
        <v>27</v>
      </c>
      <c r="C3844" s="1" t="str">
        <f>HYPERLINK("http://продеталь.рф/search.html?article=MB335009U0000","MB335009U0000")</f>
        <v>MB335009U0000</v>
      </c>
      <c r="D3844" t="s">
        <v>9</v>
      </c>
    </row>
    <row r="3845" spans="1:4" outlineLevel="1" x14ac:dyDescent="0.25">
      <c r="A3845" t="s">
        <v>498</v>
      </c>
      <c r="B3845" t="s">
        <v>19</v>
      </c>
      <c r="C3845" s="1" t="str">
        <f>HYPERLINK("http://продеталь.рф/search.html?article=19556900","19556900")</f>
        <v>19556900</v>
      </c>
      <c r="D3845" t="s">
        <v>4</v>
      </c>
    </row>
    <row r="3846" spans="1:4" outlineLevel="1" x14ac:dyDescent="0.25">
      <c r="A3846" t="s">
        <v>498</v>
      </c>
      <c r="B3846" t="s">
        <v>13</v>
      </c>
      <c r="C3846" s="1" t="str">
        <f>HYPERLINK("http://продеталь.рф/search.html?article=MB44121A","MB44121A")</f>
        <v>MB44121A</v>
      </c>
      <c r="D3846" t="s">
        <v>99</v>
      </c>
    </row>
    <row r="3847" spans="1:4" x14ac:dyDescent="0.25">
      <c r="A3847" t="s">
        <v>499</v>
      </c>
      <c r="B3847" s="2" t="s">
        <v>499</v>
      </c>
      <c r="C3847" s="2"/>
      <c r="D3847" s="2"/>
    </row>
    <row r="3848" spans="1:4" outlineLevel="1" x14ac:dyDescent="0.25">
      <c r="A3848" t="s">
        <v>499</v>
      </c>
      <c r="B3848" t="s">
        <v>11</v>
      </c>
      <c r="C3848" s="1" t="str">
        <f>HYPERLINK("http://продеталь.рф/search.html?article=MB04141BA","MB04141BA")</f>
        <v>MB04141BA</v>
      </c>
      <c r="D3848" t="s">
        <v>2</v>
      </c>
    </row>
    <row r="3849" spans="1:4" outlineLevel="1" x14ac:dyDescent="0.25">
      <c r="A3849" t="s">
        <v>499</v>
      </c>
      <c r="B3849" t="s">
        <v>15</v>
      </c>
      <c r="C3849" s="1" t="str">
        <f>HYPERLINK("http://продеталь.рф/search.html?article=388MBD142TB","388MBD142TB")</f>
        <v>388MBD142TB</v>
      </c>
      <c r="D3849" t="s">
        <v>4</v>
      </c>
    </row>
    <row r="3850" spans="1:4" outlineLevel="1" x14ac:dyDescent="0.25">
      <c r="A3850" t="s">
        <v>499</v>
      </c>
      <c r="B3850" t="s">
        <v>15</v>
      </c>
      <c r="C3850" s="1" t="str">
        <f>HYPERLINK("http://продеталь.рф/search.html?article=388MBD141TB","388MBD141TB")</f>
        <v>388MBD141TB</v>
      </c>
      <c r="D3850" t="s">
        <v>4</v>
      </c>
    </row>
    <row r="3851" spans="1:4" outlineLevel="1" x14ac:dyDescent="0.25">
      <c r="A3851" t="s">
        <v>499</v>
      </c>
      <c r="B3851" t="s">
        <v>15</v>
      </c>
      <c r="C3851" s="1" t="str">
        <f>HYPERLINK("http://продеталь.рф/search.html?article=388MBD142TC","388MBD142TC")</f>
        <v>388MBD142TC</v>
      </c>
      <c r="D3851" t="s">
        <v>4</v>
      </c>
    </row>
    <row r="3852" spans="1:4" outlineLevel="1" x14ac:dyDescent="0.25">
      <c r="A3852" t="s">
        <v>499</v>
      </c>
      <c r="B3852" t="s">
        <v>15</v>
      </c>
      <c r="C3852" s="1" t="str">
        <f>HYPERLINK("http://продеталь.рф/search.html?article=388MBD141TC","388MBD141TC")</f>
        <v>388MBD141TC</v>
      </c>
      <c r="D3852" t="s">
        <v>4</v>
      </c>
    </row>
    <row r="3853" spans="1:4" outlineLevel="1" x14ac:dyDescent="0.25">
      <c r="A3853" t="s">
        <v>499</v>
      </c>
      <c r="B3853" t="s">
        <v>15</v>
      </c>
      <c r="C3853" s="1" t="str">
        <f>HYPERLINK("http://продеталь.рф/search.html?article=VMBM1011EL","VMBM1011EL")</f>
        <v>VMBM1011EL</v>
      </c>
      <c r="D3853" t="s">
        <v>6</v>
      </c>
    </row>
    <row r="3854" spans="1:4" outlineLevel="1" x14ac:dyDescent="0.25">
      <c r="A3854" t="s">
        <v>499</v>
      </c>
      <c r="B3854" t="s">
        <v>15</v>
      </c>
      <c r="C3854" s="1" t="str">
        <f>HYPERLINK("http://продеталь.рф/search.html?article=VMBM1011ER","VMBM1011ER")</f>
        <v>VMBM1011ER</v>
      </c>
      <c r="D3854" t="s">
        <v>6</v>
      </c>
    </row>
    <row r="3855" spans="1:4" outlineLevel="1" x14ac:dyDescent="0.25">
      <c r="A3855" t="s">
        <v>499</v>
      </c>
      <c r="B3855" t="s">
        <v>15</v>
      </c>
      <c r="C3855" s="1" t="str">
        <f>HYPERLINK("http://продеталь.рф/search.html?article=VMBM1012EL","VMBM1012EL")</f>
        <v>VMBM1012EL</v>
      </c>
      <c r="D3855" t="s">
        <v>6</v>
      </c>
    </row>
    <row r="3856" spans="1:4" outlineLevel="1" x14ac:dyDescent="0.25">
      <c r="A3856" t="s">
        <v>499</v>
      </c>
      <c r="B3856" t="s">
        <v>15</v>
      </c>
      <c r="C3856" s="1" t="str">
        <f>HYPERLINK("http://продеталь.рф/search.html?article=VMBM1012ER","VMBM1012ER")</f>
        <v>VMBM1012ER</v>
      </c>
      <c r="D3856" t="s">
        <v>6</v>
      </c>
    </row>
    <row r="3857" spans="1:4" outlineLevel="1" x14ac:dyDescent="0.25">
      <c r="A3857" t="s">
        <v>499</v>
      </c>
      <c r="B3857" t="s">
        <v>15</v>
      </c>
      <c r="C3857" s="1" t="str">
        <f>HYPERLINK("http://продеталь.рф/search.html?article=VMBM1012ML","VMBM1012ML")</f>
        <v>VMBM1012ML</v>
      </c>
      <c r="D3857" t="s">
        <v>6</v>
      </c>
    </row>
    <row r="3858" spans="1:4" outlineLevel="1" x14ac:dyDescent="0.25">
      <c r="A3858" t="s">
        <v>499</v>
      </c>
      <c r="B3858" t="s">
        <v>84</v>
      </c>
      <c r="C3858" s="1" t="str">
        <f>HYPERLINK("http://продеталь.рф/search.html?article=PMB43122AL","PMB43122AL")</f>
        <v>PMB43122AL</v>
      </c>
      <c r="D3858" t="s">
        <v>6</v>
      </c>
    </row>
    <row r="3859" spans="1:4" outlineLevel="1" x14ac:dyDescent="0.25">
      <c r="A3859" t="s">
        <v>499</v>
      </c>
      <c r="B3859" t="s">
        <v>84</v>
      </c>
      <c r="C3859" s="1" t="str">
        <f>HYPERLINK("http://продеталь.рф/search.html?article=MB921000U0R00","MB921000U0R00")</f>
        <v>MB921000U0R00</v>
      </c>
      <c r="D3859" t="s">
        <v>9</v>
      </c>
    </row>
    <row r="3860" spans="1:4" outlineLevel="1" x14ac:dyDescent="0.25">
      <c r="A3860" t="s">
        <v>499</v>
      </c>
      <c r="B3860" t="s">
        <v>12</v>
      </c>
      <c r="C3860" s="1" t="str">
        <f>HYPERLINK("http://продеталь.рф/search.html?article=PMB07146GAR","PMB07146GAR")</f>
        <v>PMB07146GAR</v>
      </c>
      <c r="D3860" t="s">
        <v>6</v>
      </c>
    </row>
    <row r="3861" spans="1:4" outlineLevel="1" x14ac:dyDescent="0.25">
      <c r="A3861" t="s">
        <v>499</v>
      </c>
      <c r="B3861" t="s">
        <v>71</v>
      </c>
      <c r="C3861" s="1" t="str">
        <f>HYPERLINK("http://продеталь.рф/search.html?article=MB05003VA","MB05003VA")</f>
        <v>MB05003VA</v>
      </c>
      <c r="D3861" t="s">
        <v>2</v>
      </c>
    </row>
    <row r="3862" spans="1:4" x14ac:dyDescent="0.25">
      <c r="A3862" t="s">
        <v>500</v>
      </c>
      <c r="B3862" s="2" t="s">
        <v>500</v>
      </c>
      <c r="C3862" s="2"/>
      <c r="D3862" s="2"/>
    </row>
    <row r="3863" spans="1:4" outlineLevel="1" x14ac:dyDescent="0.25">
      <c r="A3863" t="s">
        <v>500</v>
      </c>
      <c r="B3863" t="s">
        <v>3</v>
      </c>
      <c r="C3863" s="1" t="str">
        <f>HYPERLINK("http://продеталь.рф/search.html?article=201287016B","201287016B")</f>
        <v>201287016B</v>
      </c>
      <c r="D3863" t="s">
        <v>4</v>
      </c>
    </row>
    <row r="3864" spans="1:4" outlineLevel="1" x14ac:dyDescent="0.25">
      <c r="A3864" t="s">
        <v>500</v>
      </c>
      <c r="B3864" t="s">
        <v>3</v>
      </c>
      <c r="C3864" s="1" t="str">
        <f>HYPERLINK("http://продеталь.рф/search.html?article=201286016B","201286016B")</f>
        <v>201286016B</v>
      </c>
      <c r="D3864" t="s">
        <v>4</v>
      </c>
    </row>
    <row r="3865" spans="1:4" x14ac:dyDescent="0.25">
      <c r="A3865" t="s">
        <v>501</v>
      </c>
      <c r="B3865" s="2" t="s">
        <v>501</v>
      </c>
      <c r="C3865" s="2"/>
      <c r="D3865" s="2"/>
    </row>
    <row r="3866" spans="1:4" outlineLevel="1" x14ac:dyDescent="0.25">
      <c r="A3866" t="s">
        <v>501</v>
      </c>
      <c r="B3866" t="s">
        <v>23</v>
      </c>
      <c r="C3866" s="1" t="str">
        <f>HYPERLINK("http://продеталь.рф/search.html?article=111667016","111667016")</f>
        <v>111667016</v>
      </c>
      <c r="D3866" t="s">
        <v>4</v>
      </c>
    </row>
    <row r="3867" spans="1:4" outlineLevel="1" x14ac:dyDescent="0.25">
      <c r="A3867" t="s">
        <v>501</v>
      </c>
      <c r="B3867" t="s">
        <v>23</v>
      </c>
      <c r="C3867" s="1" t="str">
        <f>HYPERLINK("http://продеталь.рф/search.html?article=111666016","111666016")</f>
        <v>111666016</v>
      </c>
      <c r="D3867" t="s">
        <v>4</v>
      </c>
    </row>
    <row r="3868" spans="1:4" outlineLevel="1" x14ac:dyDescent="0.25">
      <c r="A3868" t="s">
        <v>501</v>
      </c>
      <c r="B3868" t="s">
        <v>50</v>
      </c>
      <c r="C3868" s="1" t="str">
        <f>HYPERLINK("http://продеталь.рф/search.html?article=MB50007A","MB50007A")</f>
        <v>MB50007A</v>
      </c>
      <c r="D3868" t="s">
        <v>2</v>
      </c>
    </row>
    <row r="3869" spans="1:4" outlineLevel="1" x14ac:dyDescent="0.25">
      <c r="A3869" t="s">
        <v>501</v>
      </c>
      <c r="B3869" t="s">
        <v>16</v>
      </c>
      <c r="C3869" s="1" t="str">
        <f>HYPERLINK("http://продеталь.рф/search.html?article=181468005","181468005")</f>
        <v>181468005</v>
      </c>
      <c r="D3869" t="s">
        <v>4</v>
      </c>
    </row>
    <row r="3870" spans="1:4" outlineLevel="1" x14ac:dyDescent="0.25">
      <c r="A3870" t="s">
        <v>501</v>
      </c>
      <c r="B3870" t="s">
        <v>16</v>
      </c>
      <c r="C3870" s="1" t="str">
        <f>HYPERLINK("http://продеталь.рф/search.html?article=181467005","181467005")</f>
        <v>181467005</v>
      </c>
      <c r="D3870" t="s">
        <v>4</v>
      </c>
    </row>
    <row r="3871" spans="1:4" x14ac:dyDescent="0.25">
      <c r="A3871" t="s">
        <v>502</v>
      </c>
      <c r="B3871" s="2" t="s">
        <v>502</v>
      </c>
      <c r="C3871" s="2"/>
      <c r="D3871" s="2"/>
    </row>
    <row r="3872" spans="1:4" outlineLevel="1" x14ac:dyDescent="0.25">
      <c r="A3872" t="s">
        <v>502</v>
      </c>
      <c r="B3872" t="s">
        <v>23</v>
      </c>
      <c r="C3872" s="1" t="str">
        <f>HYPERLINK("http://продеталь.рф/search.html?article=111810","111810")</f>
        <v>111810</v>
      </c>
      <c r="D3872" t="s">
        <v>4</v>
      </c>
    </row>
    <row r="3873" spans="1:4" outlineLevel="1" x14ac:dyDescent="0.25">
      <c r="A3873" t="s">
        <v>502</v>
      </c>
      <c r="B3873" t="s">
        <v>24</v>
      </c>
      <c r="C3873" s="1" t="str">
        <f>HYPERLINK("http://продеталь.рф/search.html?article=MB10025AL","MB10025AL")</f>
        <v>MB10025AL</v>
      </c>
      <c r="D3873" t="s">
        <v>2</v>
      </c>
    </row>
    <row r="3874" spans="1:4" outlineLevel="1" x14ac:dyDescent="0.25">
      <c r="A3874" t="s">
        <v>502</v>
      </c>
      <c r="B3874" t="s">
        <v>24</v>
      </c>
      <c r="C3874" s="1" t="str">
        <f>HYPERLINK("http://продеталь.рф/search.html?article=MB10025AR","MB10025AR")</f>
        <v>MB10025AR</v>
      </c>
      <c r="D3874" t="s">
        <v>2</v>
      </c>
    </row>
    <row r="3875" spans="1:4" outlineLevel="1" x14ac:dyDescent="0.25">
      <c r="A3875" t="s">
        <v>502</v>
      </c>
      <c r="B3875" t="s">
        <v>3</v>
      </c>
      <c r="C3875" s="1" t="str">
        <f>HYPERLINK("http://продеталь.рф/search.html?article=201747001","201747001")</f>
        <v>201747001</v>
      </c>
      <c r="D3875" t="s">
        <v>4</v>
      </c>
    </row>
    <row r="3876" spans="1:4" outlineLevel="1" x14ac:dyDescent="0.25">
      <c r="A3876" t="s">
        <v>502</v>
      </c>
      <c r="B3876" t="s">
        <v>3</v>
      </c>
      <c r="C3876" s="1" t="str">
        <f>HYPERLINK("http://продеталь.рф/search.html?article=201746001","201746001")</f>
        <v>201746001</v>
      </c>
      <c r="D3876" t="s">
        <v>4</v>
      </c>
    </row>
    <row r="3877" spans="1:4" outlineLevel="1" x14ac:dyDescent="0.25">
      <c r="A3877" t="s">
        <v>502</v>
      </c>
      <c r="B3877" t="s">
        <v>5</v>
      </c>
      <c r="C3877" s="1" t="str">
        <f>HYPERLINK("http://продеталь.рф/search.html?article=MB11025AL","MB11025AL")</f>
        <v>MB11025AL</v>
      </c>
      <c r="D3877" t="s">
        <v>99</v>
      </c>
    </row>
    <row r="3878" spans="1:4" outlineLevel="1" x14ac:dyDescent="0.25">
      <c r="A3878" t="s">
        <v>502</v>
      </c>
      <c r="B3878" t="s">
        <v>5</v>
      </c>
      <c r="C3878" s="1" t="str">
        <f>HYPERLINK("http://продеталь.рф/search.html?article=MB11025AR","MB11025AR")</f>
        <v>MB11025AR</v>
      </c>
      <c r="D3878" t="s">
        <v>99</v>
      </c>
    </row>
    <row r="3879" spans="1:4" outlineLevel="1" x14ac:dyDescent="0.25">
      <c r="A3879" t="s">
        <v>502</v>
      </c>
      <c r="B3879" t="s">
        <v>12</v>
      </c>
      <c r="C3879" s="1" t="str">
        <f>HYPERLINK("http://продеталь.рф/search.html?article=MBW10930","MBW10930")</f>
        <v>MBW10930</v>
      </c>
      <c r="D3879" t="s">
        <v>9</v>
      </c>
    </row>
    <row r="3880" spans="1:4" outlineLevel="1" x14ac:dyDescent="0.25">
      <c r="A3880" t="s">
        <v>502</v>
      </c>
      <c r="B3880" t="s">
        <v>16</v>
      </c>
      <c r="C3880" s="1" t="str">
        <f>HYPERLINK("http://продеталь.рф/search.html?article=181903052","181903052")</f>
        <v>181903052</v>
      </c>
      <c r="D3880" t="s">
        <v>4</v>
      </c>
    </row>
    <row r="3881" spans="1:4" outlineLevel="1" x14ac:dyDescent="0.25">
      <c r="A3881" t="s">
        <v>502</v>
      </c>
      <c r="B3881" t="s">
        <v>16</v>
      </c>
      <c r="C3881" s="1" t="str">
        <f>HYPERLINK("http://продеталь.рф/search.html?article=181902052","181902052")</f>
        <v>181902052</v>
      </c>
      <c r="D3881" t="s">
        <v>4</v>
      </c>
    </row>
    <row r="3882" spans="1:4" x14ac:dyDescent="0.25">
      <c r="A3882" t="s">
        <v>503</v>
      </c>
      <c r="B3882" s="2" t="s">
        <v>503</v>
      </c>
      <c r="C3882" s="2"/>
      <c r="D3882" s="2"/>
    </row>
    <row r="3883" spans="1:4" outlineLevel="1" x14ac:dyDescent="0.25">
      <c r="A3883" t="s">
        <v>503</v>
      </c>
      <c r="B3883" t="s">
        <v>11</v>
      </c>
      <c r="C3883" s="1" t="str">
        <f>HYPERLINK("http://продеталь.рф/search.html?article=MB04066BA","MB04066BA")</f>
        <v>MB04066BA</v>
      </c>
      <c r="D3883" t="s">
        <v>2</v>
      </c>
    </row>
    <row r="3884" spans="1:4" outlineLevel="1" x14ac:dyDescent="0.25">
      <c r="A3884" t="s">
        <v>503</v>
      </c>
      <c r="B3884" t="s">
        <v>1</v>
      </c>
      <c r="C3884" s="1" t="str">
        <f>HYPERLINK("http://продеталь.рф/search.html?article=1074D","1074D")</f>
        <v>1074D</v>
      </c>
      <c r="D3884" t="s">
        <v>36</v>
      </c>
    </row>
    <row r="3885" spans="1:4" outlineLevel="1" x14ac:dyDescent="0.25">
      <c r="A3885" t="s">
        <v>503</v>
      </c>
      <c r="B3885" t="s">
        <v>3</v>
      </c>
      <c r="C3885" s="1" t="str">
        <f>HYPERLINK("http://продеталь.рф/search.html?article=205642086B","205642086B")</f>
        <v>205642086B</v>
      </c>
      <c r="D3885" t="s">
        <v>4</v>
      </c>
    </row>
    <row r="3886" spans="1:4" outlineLevel="1" x14ac:dyDescent="0.25">
      <c r="A3886" t="s">
        <v>503</v>
      </c>
      <c r="B3886" t="s">
        <v>5</v>
      </c>
      <c r="C3886" s="1" t="str">
        <f>HYPERLINK("http://продеталь.рф/search.html?article=MB11032AL","MB11032AL")</f>
        <v>MB11032AL</v>
      </c>
      <c r="D3886" t="s">
        <v>2</v>
      </c>
    </row>
    <row r="3887" spans="1:4" outlineLevel="1" x14ac:dyDescent="0.25">
      <c r="A3887" t="s">
        <v>503</v>
      </c>
      <c r="B3887" t="s">
        <v>12</v>
      </c>
      <c r="C3887" s="1" t="str">
        <f>HYPERLINK("http://продеталь.рф/search.html?article=MB07076GA","MB07076GA")</f>
        <v>MB07076GA</v>
      </c>
      <c r="D3887" t="s">
        <v>2</v>
      </c>
    </row>
    <row r="3888" spans="1:4" outlineLevel="1" x14ac:dyDescent="0.25">
      <c r="A3888" t="s">
        <v>503</v>
      </c>
      <c r="B3888" t="s">
        <v>276</v>
      </c>
      <c r="C3888" s="1" t="str">
        <f>HYPERLINK("http://продеталь.рф/search.html?article=SMB2034","SMB2034")</f>
        <v>SMB2034</v>
      </c>
      <c r="D3888" t="s">
        <v>63</v>
      </c>
    </row>
    <row r="3889" spans="1:4" outlineLevel="1" x14ac:dyDescent="0.25">
      <c r="A3889" t="s">
        <v>503</v>
      </c>
      <c r="B3889" t="s">
        <v>16</v>
      </c>
      <c r="C3889" s="1" t="str">
        <f>HYPERLINK("http://продеталь.рф/search.html?article=183296052","183296052")</f>
        <v>183296052</v>
      </c>
      <c r="D3889" t="s">
        <v>4</v>
      </c>
    </row>
    <row r="3890" spans="1:4" outlineLevel="1" x14ac:dyDescent="0.25">
      <c r="A3890" t="s">
        <v>503</v>
      </c>
      <c r="B3890" t="s">
        <v>13</v>
      </c>
      <c r="C3890" s="1" t="str">
        <f>HYPERLINK("http://продеталь.рф/search.html?article=MB44054A","MB44054A")</f>
        <v>MB44054A</v>
      </c>
      <c r="D3890" t="s">
        <v>2</v>
      </c>
    </row>
    <row r="3891" spans="1:4" x14ac:dyDescent="0.25">
      <c r="A3891" t="s">
        <v>504</v>
      </c>
      <c r="B3891" s="2" t="s">
        <v>504</v>
      </c>
      <c r="C3891" s="2"/>
      <c r="D3891" s="2"/>
    </row>
    <row r="3892" spans="1:4" outlineLevel="1" x14ac:dyDescent="0.25">
      <c r="A3892" t="s">
        <v>504</v>
      </c>
      <c r="B3892" t="s">
        <v>11</v>
      </c>
      <c r="C3892" s="1" t="str">
        <f>HYPERLINK("http://продеталь.рф/search.html?article=MBW3000B0","MBW3000B0")</f>
        <v>MBW3000B0</v>
      </c>
      <c r="D3892" t="s">
        <v>9</v>
      </c>
    </row>
    <row r="3893" spans="1:4" outlineLevel="1" x14ac:dyDescent="0.25">
      <c r="A3893" t="s">
        <v>504</v>
      </c>
      <c r="B3893" t="s">
        <v>1</v>
      </c>
      <c r="C3893" s="1" t="str">
        <f>HYPERLINK("http://продеталь.рф/search.html?article=MB20034A","MB20034A")</f>
        <v>MB20034A</v>
      </c>
      <c r="D3893" t="s">
        <v>2</v>
      </c>
    </row>
    <row r="3894" spans="1:4" outlineLevel="1" x14ac:dyDescent="0.25">
      <c r="A3894" t="s">
        <v>504</v>
      </c>
      <c r="B3894" t="s">
        <v>24</v>
      </c>
      <c r="C3894" s="1" t="str">
        <f>HYPERLINK("http://продеталь.рф/search.html?article=MBW30161","MBW30161")</f>
        <v>MBW30161</v>
      </c>
      <c r="D3894" t="s">
        <v>9</v>
      </c>
    </row>
    <row r="3895" spans="1:4" outlineLevel="1" x14ac:dyDescent="0.25">
      <c r="A3895" t="s">
        <v>504</v>
      </c>
      <c r="B3895" t="s">
        <v>27</v>
      </c>
      <c r="C3895" s="1" t="str">
        <f>HYPERLINK("http://продеталь.рф/search.html?article=GD2721B","GD2721B")</f>
        <v>GD2721B</v>
      </c>
      <c r="D3895" t="s">
        <v>2</v>
      </c>
    </row>
    <row r="3896" spans="1:4" outlineLevel="1" x14ac:dyDescent="0.25">
      <c r="A3896" t="s">
        <v>504</v>
      </c>
      <c r="B3896" t="s">
        <v>3</v>
      </c>
      <c r="C3896" s="1" t="str">
        <f>HYPERLINK("http://продеталь.рф/search.html?article=206321016B","206321016B")</f>
        <v>206321016B</v>
      </c>
      <c r="D3896" t="s">
        <v>4</v>
      </c>
    </row>
    <row r="3897" spans="1:4" outlineLevel="1" x14ac:dyDescent="0.25">
      <c r="A3897" t="s">
        <v>504</v>
      </c>
      <c r="B3897" t="s">
        <v>3</v>
      </c>
      <c r="C3897" s="1" t="str">
        <f>HYPERLINK("http://продеталь.рф/search.html?article=206322016B","206322016B")</f>
        <v>206322016B</v>
      </c>
      <c r="D3897" t="s">
        <v>4</v>
      </c>
    </row>
    <row r="3898" spans="1:4" outlineLevel="1" x14ac:dyDescent="0.25">
      <c r="A3898" t="s">
        <v>504</v>
      </c>
      <c r="B3898" t="s">
        <v>5</v>
      </c>
      <c r="C3898" s="1" t="str">
        <f>HYPERLINK("http://продеталь.рф/search.html?article=GD5246CL","GD5246CL")</f>
        <v>GD5246CL</v>
      </c>
      <c r="D3898" t="s">
        <v>2</v>
      </c>
    </row>
    <row r="3899" spans="1:4" outlineLevel="1" x14ac:dyDescent="0.25">
      <c r="A3899" t="s">
        <v>504</v>
      </c>
      <c r="B3899" t="s">
        <v>5</v>
      </c>
      <c r="C3899" s="1" t="str">
        <f>HYPERLINK("http://продеталь.рф/search.html?article=GD5246CR","GD5246CR")</f>
        <v>GD5246CR</v>
      </c>
      <c r="D3899" t="s">
        <v>2</v>
      </c>
    </row>
    <row r="3900" spans="1:4" x14ac:dyDescent="0.25">
      <c r="A3900" t="s">
        <v>505</v>
      </c>
      <c r="B3900" s="2" t="s">
        <v>505</v>
      </c>
      <c r="C3900" s="2"/>
      <c r="D3900" s="2"/>
    </row>
    <row r="3901" spans="1:4" outlineLevel="1" x14ac:dyDescent="0.25">
      <c r="A3901" t="s">
        <v>505</v>
      </c>
      <c r="B3901" t="s">
        <v>11</v>
      </c>
      <c r="C3901" s="1" t="str">
        <f>HYPERLINK("http://продеталь.рф/search.html?article=MB04132BB","MB04132BB")</f>
        <v>MB04132BB</v>
      </c>
      <c r="D3901" t="s">
        <v>2</v>
      </c>
    </row>
    <row r="3902" spans="1:4" outlineLevel="1" x14ac:dyDescent="0.25">
      <c r="A3902" t="s">
        <v>505</v>
      </c>
      <c r="B3902" t="s">
        <v>11</v>
      </c>
      <c r="C3902" s="1" t="str">
        <f>HYPERLINK("http://продеталь.рф/search.html?article=MB04140BA","MB04140BA")</f>
        <v>MB04140BA</v>
      </c>
      <c r="D3902" t="s">
        <v>2</v>
      </c>
    </row>
    <row r="3903" spans="1:4" outlineLevel="1" x14ac:dyDescent="0.25">
      <c r="A3903" t="s">
        <v>505</v>
      </c>
      <c r="B3903" t="s">
        <v>15</v>
      </c>
      <c r="C3903" s="1" t="str">
        <f>HYPERLINK("http://продеталь.рф/search.html?article=388MBD102T","388MBD102T")</f>
        <v>388MBD102T</v>
      </c>
      <c r="D3903" t="s">
        <v>4</v>
      </c>
    </row>
    <row r="3904" spans="1:4" outlineLevel="1" x14ac:dyDescent="0.25">
      <c r="A3904" t="s">
        <v>505</v>
      </c>
      <c r="B3904" t="s">
        <v>15</v>
      </c>
      <c r="C3904" s="1" t="str">
        <f>HYPERLINK("http://продеталь.рф/search.html?article=388MBD101T","388MBD101T")</f>
        <v>388MBD101T</v>
      </c>
      <c r="D3904" t="s">
        <v>4</v>
      </c>
    </row>
    <row r="3905" spans="1:4" outlineLevel="1" x14ac:dyDescent="0.25">
      <c r="A3905" t="s">
        <v>505</v>
      </c>
      <c r="B3905" t="s">
        <v>79</v>
      </c>
      <c r="C3905" s="1" t="str">
        <f>HYPERLINK("http://продеталь.рф/search.html?article=MBW40040","MBW40040")</f>
        <v>MBW40040</v>
      </c>
      <c r="D3905" t="s">
        <v>9</v>
      </c>
    </row>
    <row r="3906" spans="1:4" outlineLevel="1" x14ac:dyDescent="0.25">
      <c r="A3906" t="s">
        <v>505</v>
      </c>
      <c r="B3906" t="s">
        <v>331</v>
      </c>
      <c r="C3906" s="1" t="str">
        <f>HYPERLINK("http://продеталь.рф/search.html?article=MB22040A","MB22040A")</f>
        <v>MB22040A</v>
      </c>
      <c r="D3906" t="s">
        <v>2</v>
      </c>
    </row>
    <row r="3907" spans="1:4" outlineLevel="1" x14ac:dyDescent="0.25">
      <c r="A3907" t="s">
        <v>505</v>
      </c>
      <c r="B3907" t="s">
        <v>1</v>
      </c>
      <c r="C3907" s="1" t="str">
        <f>HYPERLINK("http://продеталь.рф/search.html?article=MB24401500000","MB24401500000")</f>
        <v>MB24401500000</v>
      </c>
      <c r="D3907" t="s">
        <v>9</v>
      </c>
    </row>
    <row r="3908" spans="1:4" outlineLevel="1" x14ac:dyDescent="0.25">
      <c r="A3908" t="s">
        <v>505</v>
      </c>
      <c r="B3908" t="s">
        <v>1</v>
      </c>
      <c r="C3908" s="1" t="str">
        <f>HYPERLINK("http://продеталь.рф/search.html?article=MB20040A","MB20040A")</f>
        <v>MB20040A</v>
      </c>
      <c r="D3908" t="s">
        <v>2</v>
      </c>
    </row>
    <row r="3909" spans="1:4" outlineLevel="1" x14ac:dyDescent="0.25">
      <c r="A3909" t="s">
        <v>505</v>
      </c>
      <c r="B3909" t="s">
        <v>84</v>
      </c>
      <c r="C3909" s="1" t="str">
        <f>HYPERLINK("http://продеталь.рф/search.html?article=MB46124AR","MB46124AR")</f>
        <v>MB46124AR</v>
      </c>
      <c r="D3909" t="s">
        <v>2</v>
      </c>
    </row>
    <row r="3910" spans="1:4" outlineLevel="1" x14ac:dyDescent="0.25">
      <c r="A3910" t="s">
        <v>505</v>
      </c>
      <c r="B3910" t="s">
        <v>24</v>
      </c>
      <c r="C3910" s="1" t="str">
        <f>HYPERLINK("http://продеталь.рф/search.html?article=MB10067AL","MB10067AL")</f>
        <v>MB10067AL</v>
      </c>
      <c r="D3910" t="s">
        <v>2</v>
      </c>
    </row>
    <row r="3911" spans="1:4" outlineLevel="1" x14ac:dyDescent="0.25">
      <c r="A3911" t="s">
        <v>505</v>
      </c>
      <c r="B3911" t="s">
        <v>24</v>
      </c>
      <c r="C3911" s="1" t="str">
        <f>HYPERLINK("http://продеталь.рф/search.html?article=MB10067AR","MB10067AR")</f>
        <v>MB10067AR</v>
      </c>
      <c r="D3911" t="s">
        <v>2</v>
      </c>
    </row>
    <row r="3912" spans="1:4" outlineLevel="1" x14ac:dyDescent="0.25">
      <c r="A3912" t="s">
        <v>505</v>
      </c>
      <c r="B3912" t="s">
        <v>103</v>
      </c>
      <c r="C3912" s="1" t="str">
        <f>HYPERLINK("http://продеталь.рф/search.html?article=PMB99002CAL","PMB99002CAL")</f>
        <v>PMB99002CAL</v>
      </c>
      <c r="D3912" t="s">
        <v>6</v>
      </c>
    </row>
    <row r="3913" spans="1:4" outlineLevel="1" x14ac:dyDescent="0.25">
      <c r="A3913" t="s">
        <v>505</v>
      </c>
      <c r="B3913" t="s">
        <v>103</v>
      </c>
      <c r="C3913" s="1" t="str">
        <f>HYPERLINK("http://продеталь.рф/search.html?article=PMB99002CAR","PMB99002CAR")</f>
        <v>PMB99002CAR</v>
      </c>
      <c r="D3913" t="s">
        <v>6</v>
      </c>
    </row>
    <row r="3914" spans="1:4" outlineLevel="1" x14ac:dyDescent="0.25">
      <c r="A3914" t="s">
        <v>505</v>
      </c>
      <c r="B3914" t="s">
        <v>103</v>
      </c>
      <c r="C3914" s="1" t="str">
        <f>HYPERLINK("http://продеталь.рф/search.html?article=MB99207CAL","MB99207CAL")</f>
        <v>MB99207CAL</v>
      </c>
      <c r="D3914" t="s">
        <v>2</v>
      </c>
    </row>
    <row r="3915" spans="1:4" outlineLevel="1" x14ac:dyDescent="0.25">
      <c r="A3915" t="s">
        <v>505</v>
      </c>
      <c r="B3915" t="s">
        <v>103</v>
      </c>
      <c r="C3915" s="1" t="str">
        <f>HYPERLINK("http://продеталь.рф/search.html?article=MB99207CAR","MB99207CAR")</f>
        <v>MB99207CAR</v>
      </c>
      <c r="D3915" t="s">
        <v>2</v>
      </c>
    </row>
    <row r="3916" spans="1:4" outlineLevel="1" x14ac:dyDescent="0.25">
      <c r="A3916" t="s">
        <v>505</v>
      </c>
      <c r="B3916" t="s">
        <v>506</v>
      </c>
      <c r="C3916" s="1" t="str">
        <f>HYPERLINK("http://продеталь.рф/search.html?article=MB04112PA","MB04112PA")</f>
        <v>MB04112PA</v>
      </c>
      <c r="D3916" t="s">
        <v>2</v>
      </c>
    </row>
    <row r="3917" spans="1:4" outlineLevel="1" x14ac:dyDescent="0.25">
      <c r="A3917" t="s">
        <v>505</v>
      </c>
      <c r="B3917" t="s">
        <v>27</v>
      </c>
      <c r="C3917" s="1" t="str">
        <f>HYPERLINK("http://продеталь.рф/search.html?article=MBW40090","MBW40090")</f>
        <v>MBW40090</v>
      </c>
      <c r="D3917" t="s">
        <v>9</v>
      </c>
    </row>
    <row r="3918" spans="1:4" outlineLevel="1" x14ac:dyDescent="0.25">
      <c r="A3918" t="s">
        <v>505</v>
      </c>
      <c r="B3918" t="s">
        <v>27</v>
      </c>
      <c r="C3918" s="1" t="str">
        <f>HYPERLINK("http://продеталь.рф/search.html?article=PMB30031A","PMB30031A")</f>
        <v>PMB30031A</v>
      </c>
      <c r="D3918" t="s">
        <v>6</v>
      </c>
    </row>
    <row r="3919" spans="1:4" outlineLevel="1" x14ac:dyDescent="0.25">
      <c r="A3919" t="s">
        <v>505</v>
      </c>
      <c r="B3919" t="s">
        <v>3</v>
      </c>
      <c r="C3919" s="1" t="str">
        <f>HYPERLINK("http://продеталь.рф/search.html?article=206604001A","206604001A")</f>
        <v>206604001A</v>
      </c>
      <c r="D3919" t="s">
        <v>4</v>
      </c>
    </row>
    <row r="3920" spans="1:4" outlineLevel="1" x14ac:dyDescent="0.25">
      <c r="A3920" t="s">
        <v>505</v>
      </c>
      <c r="B3920" t="s">
        <v>3</v>
      </c>
      <c r="C3920" s="1" t="str">
        <f>HYPERLINK("http://продеталь.рф/search.html?article=206603001A","206603001A")</f>
        <v>206603001A</v>
      </c>
      <c r="D3920" t="s">
        <v>4</v>
      </c>
    </row>
    <row r="3921" spans="1:4" outlineLevel="1" x14ac:dyDescent="0.25">
      <c r="A3921" t="s">
        <v>505</v>
      </c>
      <c r="B3921" t="s">
        <v>3</v>
      </c>
      <c r="C3921" s="1" t="str">
        <f>HYPERLINK("http://продеталь.рф/search.html?article=20A470056","20A470056")</f>
        <v>20A470056</v>
      </c>
      <c r="D3921" t="s">
        <v>4</v>
      </c>
    </row>
    <row r="3922" spans="1:4" outlineLevel="1" x14ac:dyDescent="0.25">
      <c r="A3922" t="s">
        <v>505</v>
      </c>
      <c r="B3922" t="s">
        <v>3</v>
      </c>
      <c r="C3922" s="1" t="str">
        <f>HYPERLINK("http://продеталь.рф/search.html?article=20A469056","20A469056")</f>
        <v>20A469056</v>
      </c>
      <c r="D3922" t="s">
        <v>4</v>
      </c>
    </row>
    <row r="3923" spans="1:4" outlineLevel="1" x14ac:dyDescent="0.25">
      <c r="A3923" t="s">
        <v>505</v>
      </c>
      <c r="B3923" t="s">
        <v>3</v>
      </c>
      <c r="C3923" s="1" t="str">
        <f>HYPERLINK("http://продеталь.рф/search.html?article=20A470B52B","20A470B52B")</f>
        <v>20A470B52B</v>
      </c>
      <c r="D3923" t="s">
        <v>4</v>
      </c>
    </row>
    <row r="3924" spans="1:4" outlineLevel="1" x14ac:dyDescent="0.25">
      <c r="A3924" t="s">
        <v>505</v>
      </c>
      <c r="B3924" t="s">
        <v>3</v>
      </c>
      <c r="C3924" s="1" t="str">
        <f>HYPERLINK("http://продеталь.рф/search.html?article=20A469B52B","20A469B52B")</f>
        <v>20A469B52B</v>
      </c>
      <c r="D3924" t="s">
        <v>4</v>
      </c>
    </row>
    <row r="3925" spans="1:4" outlineLevel="1" x14ac:dyDescent="0.25">
      <c r="A3925" t="s">
        <v>505</v>
      </c>
      <c r="B3925" t="s">
        <v>139</v>
      </c>
      <c r="C3925" s="1" t="str">
        <f>HYPERLINK("http://продеталь.рф/search.html?article=MBW4015H2","MBW4015H2")</f>
        <v>MBW4015H2</v>
      </c>
      <c r="D3925" t="s">
        <v>9</v>
      </c>
    </row>
    <row r="3926" spans="1:4" outlineLevel="1" x14ac:dyDescent="0.25">
      <c r="A3926" t="s">
        <v>505</v>
      </c>
      <c r="B3926" t="s">
        <v>139</v>
      </c>
      <c r="C3926" s="1" t="str">
        <f>HYPERLINK("http://продеталь.рф/search.html?article=MBW4015H1","MBW4015H1")</f>
        <v>MBW4015H1</v>
      </c>
      <c r="D3926" t="s">
        <v>9</v>
      </c>
    </row>
    <row r="3927" spans="1:4" outlineLevel="1" x14ac:dyDescent="0.25">
      <c r="A3927" t="s">
        <v>505</v>
      </c>
      <c r="B3927" t="s">
        <v>5</v>
      </c>
      <c r="C3927" s="1" t="str">
        <f>HYPERLINK("http://продеталь.рф/search.html?article=MBW4016L1","MBW4016L1")</f>
        <v>MBW4016L1</v>
      </c>
      <c r="D3927" t="s">
        <v>9</v>
      </c>
    </row>
    <row r="3928" spans="1:4" outlineLevel="1" x14ac:dyDescent="0.25">
      <c r="A3928" t="s">
        <v>505</v>
      </c>
      <c r="B3928" t="s">
        <v>5</v>
      </c>
      <c r="C3928" s="1" t="str">
        <f>HYPERLINK("http://продеталь.рф/search.html?article=PMB11067BR","PMB11067BR")</f>
        <v>PMB11067BR</v>
      </c>
      <c r="D3928" t="s">
        <v>2</v>
      </c>
    </row>
    <row r="3929" spans="1:4" outlineLevel="1" x14ac:dyDescent="0.25">
      <c r="A3929" t="s">
        <v>505</v>
      </c>
      <c r="B3929" t="s">
        <v>5</v>
      </c>
      <c r="C3929" s="1" t="str">
        <f>HYPERLINK("http://продеталь.рф/search.html?article=MB11067BL","MB11067BL")</f>
        <v>MB11067BL</v>
      </c>
      <c r="D3929" t="s">
        <v>2</v>
      </c>
    </row>
    <row r="3930" spans="1:4" outlineLevel="1" x14ac:dyDescent="0.25">
      <c r="A3930" t="s">
        <v>505</v>
      </c>
      <c r="B3930" t="s">
        <v>19</v>
      </c>
      <c r="C3930" s="1" t="str">
        <f>HYPERLINK("http://продеталь.рф/search.html?article=190611052","190611052")</f>
        <v>190611052</v>
      </c>
      <c r="D3930" t="s">
        <v>4</v>
      </c>
    </row>
    <row r="3931" spans="1:4" outlineLevel="1" x14ac:dyDescent="0.25">
      <c r="A3931" t="s">
        <v>505</v>
      </c>
      <c r="B3931" t="s">
        <v>28</v>
      </c>
      <c r="C3931" s="1" t="str">
        <f>HYPERLINK("http://продеталь.рф/search.html?article=242029","242029")</f>
        <v>242029</v>
      </c>
      <c r="D3931" t="s">
        <v>135</v>
      </c>
    </row>
    <row r="3932" spans="1:4" outlineLevel="1" x14ac:dyDescent="0.25">
      <c r="A3932" t="s">
        <v>505</v>
      </c>
      <c r="B3932" t="s">
        <v>8</v>
      </c>
      <c r="C3932" s="1" t="str">
        <f>HYPERLINK("http://продеталь.рф/search.html?article=MB24439402000","MB24439402000")</f>
        <v>MB24439402000</v>
      </c>
      <c r="D3932" t="s">
        <v>9</v>
      </c>
    </row>
    <row r="3933" spans="1:4" outlineLevel="1" x14ac:dyDescent="0.25">
      <c r="A3933" t="s">
        <v>505</v>
      </c>
      <c r="B3933" t="s">
        <v>40</v>
      </c>
      <c r="C3933" s="1" t="str">
        <f>HYPERLINK("http://продеталь.рф/search.html?article=MB99126GA","MB99126GA")</f>
        <v>MB99126GA</v>
      </c>
      <c r="D3933" t="s">
        <v>2</v>
      </c>
    </row>
    <row r="3934" spans="1:4" outlineLevel="1" x14ac:dyDescent="0.25">
      <c r="A3934" t="s">
        <v>505</v>
      </c>
      <c r="B3934" t="s">
        <v>12</v>
      </c>
      <c r="C3934" s="1" t="str">
        <f>HYPERLINK("http://продеталь.рф/search.html?article=MBW4093F2","MBW4093F2")</f>
        <v>MBW4093F2</v>
      </c>
      <c r="D3934" t="s">
        <v>9</v>
      </c>
    </row>
    <row r="3935" spans="1:4" outlineLevel="1" x14ac:dyDescent="0.25">
      <c r="A3935" t="s">
        <v>505</v>
      </c>
      <c r="B3935" t="s">
        <v>12</v>
      </c>
      <c r="C3935" s="1" t="str">
        <f>HYPERLINK("http://продеталь.рф/search.html?article=MB07151GA","MB07151GA")</f>
        <v>MB07151GA</v>
      </c>
      <c r="D3935" t="s">
        <v>2</v>
      </c>
    </row>
    <row r="3936" spans="1:4" outlineLevel="1" x14ac:dyDescent="0.25">
      <c r="A3936" t="s">
        <v>505</v>
      </c>
      <c r="B3936" t="s">
        <v>12</v>
      </c>
      <c r="C3936" s="1" t="str">
        <f>HYPERLINK("http://продеталь.рф/search.html?article=MB07152GAL","MB07152GAL")</f>
        <v>MB07152GAL</v>
      </c>
      <c r="D3936" t="s">
        <v>2</v>
      </c>
    </row>
    <row r="3937" spans="1:4" outlineLevel="1" x14ac:dyDescent="0.25">
      <c r="A3937" t="s">
        <v>505</v>
      </c>
      <c r="B3937" t="s">
        <v>13</v>
      </c>
      <c r="C3937" s="1" t="str">
        <f>HYPERLINK("http://продеталь.рф/search.html?article=MBW4000R0","MBW4000R0")</f>
        <v>MBW4000R0</v>
      </c>
      <c r="D3937" t="s">
        <v>9</v>
      </c>
    </row>
    <row r="3938" spans="1:4" x14ac:dyDescent="0.25">
      <c r="A3938" t="s">
        <v>507</v>
      </c>
      <c r="B3938" s="2" t="s">
        <v>507</v>
      </c>
      <c r="C3938" s="2"/>
      <c r="D3938" s="2"/>
    </row>
    <row r="3939" spans="1:4" outlineLevel="1" x14ac:dyDescent="0.25">
      <c r="A3939" t="s">
        <v>507</v>
      </c>
      <c r="B3939" t="s">
        <v>11</v>
      </c>
      <c r="C3939" s="1" t="str">
        <f>HYPERLINK("http://продеталь.рф/search.html?article=MB24500001000","MB24500001000")</f>
        <v>MB24500001000</v>
      </c>
      <c r="D3939" t="s">
        <v>9</v>
      </c>
    </row>
    <row r="3940" spans="1:4" outlineLevel="1" x14ac:dyDescent="0.25">
      <c r="A3940" t="s">
        <v>507</v>
      </c>
      <c r="B3940" t="s">
        <v>15</v>
      </c>
      <c r="C3940" s="1" t="str">
        <f>HYPERLINK("http://продеталь.рф/search.html?article=MBM1048CL","MBM1048CL")</f>
        <v>MBM1048CL</v>
      </c>
      <c r="D3940" t="s">
        <v>2</v>
      </c>
    </row>
    <row r="3941" spans="1:4" outlineLevel="1" x14ac:dyDescent="0.25">
      <c r="A3941" t="s">
        <v>507</v>
      </c>
      <c r="B3941" t="s">
        <v>15</v>
      </c>
      <c r="C3941" s="1" t="str">
        <f>HYPERLINK("http://продеталь.рф/search.html?article=MBM1048CR","MBM1048CR")</f>
        <v>MBM1048CR</v>
      </c>
      <c r="D3941" t="s">
        <v>2</v>
      </c>
    </row>
    <row r="3942" spans="1:4" outlineLevel="1" x14ac:dyDescent="0.25">
      <c r="A3942" t="s">
        <v>507</v>
      </c>
      <c r="B3942" t="s">
        <v>239</v>
      </c>
      <c r="C3942" s="1" t="str">
        <f>HYPERLINK("http://продеталь.рф/search.html?article=PMB33300A","PMB33300A")</f>
        <v>PMB33300A</v>
      </c>
      <c r="D3942" t="s">
        <v>6</v>
      </c>
    </row>
    <row r="3943" spans="1:4" outlineLevel="1" x14ac:dyDescent="0.25">
      <c r="A3943" t="s">
        <v>507</v>
      </c>
      <c r="B3943" t="s">
        <v>331</v>
      </c>
      <c r="C3943" s="1" t="str">
        <f>HYPERLINK("http://продеталь.рф/search.html?article=MB245015L0000","MB245015L0000")</f>
        <v>MB245015L0000</v>
      </c>
      <c r="D3943" t="s">
        <v>9</v>
      </c>
    </row>
    <row r="3944" spans="1:4" outlineLevel="1" x14ac:dyDescent="0.25">
      <c r="A3944" t="s">
        <v>507</v>
      </c>
      <c r="B3944" t="s">
        <v>35</v>
      </c>
      <c r="C3944" s="1" t="str">
        <f>HYPERLINK("http://продеталь.рф/search.html?article=MB24502500000","MB24502500000")</f>
        <v>MB24502500000</v>
      </c>
      <c r="D3944" t="s">
        <v>6</v>
      </c>
    </row>
    <row r="3945" spans="1:4" outlineLevel="1" x14ac:dyDescent="0.25">
      <c r="A3945" t="s">
        <v>507</v>
      </c>
      <c r="B3945" t="s">
        <v>24</v>
      </c>
      <c r="C3945" s="1" t="str">
        <f>HYPERLINK("http://продеталь.рф/search.html?article=PMB10075AL","PMB10075AL")</f>
        <v>PMB10075AL</v>
      </c>
      <c r="D3945" t="s">
        <v>6</v>
      </c>
    </row>
    <row r="3946" spans="1:4" outlineLevel="1" x14ac:dyDescent="0.25">
      <c r="A3946" t="s">
        <v>507</v>
      </c>
      <c r="B3946" t="s">
        <v>24</v>
      </c>
      <c r="C3946" s="1" t="str">
        <f>HYPERLINK("http://продеталь.рф/search.html?article=PMB10075AR","PMB10075AR")</f>
        <v>PMB10075AR</v>
      </c>
      <c r="D3946" t="s">
        <v>6</v>
      </c>
    </row>
    <row r="3947" spans="1:4" outlineLevel="1" x14ac:dyDescent="0.25">
      <c r="A3947" t="s">
        <v>507</v>
      </c>
      <c r="B3947" t="s">
        <v>51</v>
      </c>
      <c r="C3947" s="1" t="str">
        <f>HYPERLINK("http://продеталь.рф/search.html?article=PMB30040AW","PMB30040AW")</f>
        <v>PMB30040AW</v>
      </c>
      <c r="D3947" t="s">
        <v>6</v>
      </c>
    </row>
    <row r="3948" spans="1:4" outlineLevel="1" x14ac:dyDescent="0.25">
      <c r="A3948" t="s">
        <v>507</v>
      </c>
      <c r="B3948" t="s">
        <v>27</v>
      </c>
      <c r="C3948" s="1" t="str">
        <f>HYPERLINK("http://продеталь.рф/search.html?article=MB30040AR","MB30040AR")</f>
        <v>MB30040AR</v>
      </c>
      <c r="D3948" t="s">
        <v>2</v>
      </c>
    </row>
    <row r="3949" spans="1:4" outlineLevel="1" x14ac:dyDescent="0.25">
      <c r="A3949" t="s">
        <v>507</v>
      </c>
      <c r="B3949" t="s">
        <v>3</v>
      </c>
      <c r="C3949" s="1" t="str">
        <f>HYPERLINK("http://продеталь.рф/search.html?article=201302052","201302052")</f>
        <v>201302052</v>
      </c>
      <c r="D3949" t="s">
        <v>4</v>
      </c>
    </row>
    <row r="3950" spans="1:4" outlineLevel="1" x14ac:dyDescent="0.25">
      <c r="A3950" t="s">
        <v>507</v>
      </c>
      <c r="B3950" t="s">
        <v>3</v>
      </c>
      <c r="C3950" s="1" t="str">
        <f>HYPERLINK("http://продеталь.рф/search.html?article=201301052","201301052")</f>
        <v>201301052</v>
      </c>
      <c r="D3950" t="s">
        <v>4</v>
      </c>
    </row>
    <row r="3951" spans="1:4" outlineLevel="1" x14ac:dyDescent="0.25">
      <c r="A3951" t="s">
        <v>507</v>
      </c>
      <c r="B3951" t="s">
        <v>139</v>
      </c>
      <c r="C3951" s="1" t="str">
        <f>HYPERLINK("http://продеталь.рф/search.html?article=PMB21046AL","PMB21046AL")</f>
        <v>PMB21046AL</v>
      </c>
      <c r="D3951" t="s">
        <v>6</v>
      </c>
    </row>
    <row r="3952" spans="1:4" outlineLevel="1" x14ac:dyDescent="0.25">
      <c r="A3952" t="s">
        <v>507</v>
      </c>
      <c r="B3952" t="s">
        <v>139</v>
      </c>
      <c r="C3952" s="1" t="str">
        <f>HYPERLINK("http://продеталь.рф/search.html?article=PMB21046AR","PMB21046AR")</f>
        <v>PMB21046AR</v>
      </c>
      <c r="D3952" t="s">
        <v>6</v>
      </c>
    </row>
    <row r="3953" spans="1:4" outlineLevel="1" x14ac:dyDescent="0.25">
      <c r="A3953" t="s">
        <v>507</v>
      </c>
      <c r="B3953" t="s">
        <v>28</v>
      </c>
      <c r="C3953" s="1" t="str">
        <f>HYPERLINK("http://продеталь.рф/search.html?article=247359","247359")</f>
        <v>247359</v>
      </c>
      <c r="D3953" t="s">
        <v>135</v>
      </c>
    </row>
    <row r="3954" spans="1:4" outlineLevel="1" x14ac:dyDescent="0.25">
      <c r="A3954" t="s">
        <v>507</v>
      </c>
      <c r="B3954" t="s">
        <v>30</v>
      </c>
      <c r="C3954" s="1" t="str">
        <f>HYPERLINK("http://продеталь.рф/search.html?article=PMB99212CAL","PMB99212CAL")</f>
        <v>PMB99212CAL</v>
      </c>
      <c r="D3954" t="s">
        <v>6</v>
      </c>
    </row>
    <row r="3955" spans="1:4" outlineLevel="1" x14ac:dyDescent="0.25">
      <c r="A3955" t="s">
        <v>507</v>
      </c>
      <c r="B3955" t="s">
        <v>12</v>
      </c>
      <c r="C3955" s="1" t="str">
        <f>HYPERLINK("http://продеталь.рф/search.html?article=MB07149GB","MB07149GB")</f>
        <v>MB07149GB</v>
      </c>
      <c r="D3955" t="s">
        <v>2</v>
      </c>
    </row>
    <row r="3956" spans="1:4" outlineLevel="1" x14ac:dyDescent="0.25">
      <c r="A3956" t="s">
        <v>507</v>
      </c>
      <c r="B3956" t="s">
        <v>71</v>
      </c>
      <c r="C3956" s="1" t="str">
        <f>HYPERLINK("http://продеталь.рф/search.html?article=PMB04031AR","PMB04031AR")</f>
        <v>PMB04031AR</v>
      </c>
      <c r="D3956" t="s">
        <v>6</v>
      </c>
    </row>
    <row r="3957" spans="1:4" outlineLevel="1" x14ac:dyDescent="0.25">
      <c r="A3957" t="s">
        <v>507</v>
      </c>
      <c r="B3957" t="s">
        <v>13</v>
      </c>
      <c r="C3957" s="1" t="str">
        <f>HYPERLINK("http://продеталь.рф/search.html?article=PMB44129A","PMB44129A")</f>
        <v>PMB44129A</v>
      </c>
      <c r="D3957" t="s">
        <v>6</v>
      </c>
    </row>
    <row r="3958" spans="1:4" outlineLevel="1" x14ac:dyDescent="0.25">
      <c r="A3958" t="s">
        <v>507</v>
      </c>
      <c r="B3958" t="s">
        <v>13</v>
      </c>
      <c r="C3958" s="1" t="str">
        <f>HYPERLINK("http://продеталь.рф/search.html?article=PMB44138A","PMB44138A")</f>
        <v>PMB44138A</v>
      </c>
      <c r="D3958" t="s">
        <v>6</v>
      </c>
    </row>
    <row r="3959" spans="1:4" x14ac:dyDescent="0.25">
      <c r="A3959" t="s">
        <v>508</v>
      </c>
      <c r="B3959" s="2" t="s">
        <v>508</v>
      </c>
      <c r="C3959" s="2"/>
      <c r="D3959" s="2"/>
    </row>
    <row r="3960" spans="1:4" outlineLevel="1" x14ac:dyDescent="0.25">
      <c r="A3960" t="s">
        <v>508</v>
      </c>
      <c r="B3960" t="s">
        <v>11</v>
      </c>
      <c r="C3960" s="1" t="str">
        <f>HYPERLINK("http://продеталь.рф/search.html?article=MB04114BB","MB04114BB")</f>
        <v>MB04114BB</v>
      </c>
      <c r="D3960" t="s">
        <v>2</v>
      </c>
    </row>
    <row r="3961" spans="1:4" outlineLevel="1" x14ac:dyDescent="0.25">
      <c r="A3961" t="s">
        <v>508</v>
      </c>
      <c r="B3961" t="s">
        <v>11</v>
      </c>
      <c r="C3961" s="1" t="str">
        <f>HYPERLINK("http://продеталь.рф/search.html?article=PMB04114KBA","PMB04114KBA")</f>
        <v>PMB04114KBA</v>
      </c>
      <c r="D3961" t="s">
        <v>6</v>
      </c>
    </row>
    <row r="3962" spans="1:4" outlineLevel="1" x14ac:dyDescent="0.25">
      <c r="A3962" t="s">
        <v>508</v>
      </c>
      <c r="B3962" t="s">
        <v>79</v>
      </c>
      <c r="C3962" s="1" t="str">
        <f>HYPERLINK("http://продеталь.рф/search.html?article=MB66033A","MB66033A")</f>
        <v>MB66033A</v>
      </c>
      <c r="D3962" t="s">
        <v>2</v>
      </c>
    </row>
    <row r="3963" spans="1:4" outlineLevel="1" x14ac:dyDescent="0.25">
      <c r="A3963" t="s">
        <v>508</v>
      </c>
      <c r="B3963" t="s">
        <v>160</v>
      </c>
      <c r="C3963" s="1" t="str">
        <f>HYPERLINK("http://продеталь.рф/search.html?article=PMB60003AR","PMB60003AR")</f>
        <v>PMB60003AR</v>
      </c>
      <c r="D3963" t="s">
        <v>6</v>
      </c>
    </row>
    <row r="3964" spans="1:4" outlineLevel="1" x14ac:dyDescent="0.25">
      <c r="A3964" t="s">
        <v>508</v>
      </c>
      <c r="B3964" t="s">
        <v>3</v>
      </c>
      <c r="C3964" s="1" t="str">
        <f>HYPERLINK("http://продеталь.рф/search.html?article=ZMB1179L","ZMB1179L")</f>
        <v>ZMB1179L</v>
      </c>
      <c r="D3964" t="s">
        <v>6</v>
      </c>
    </row>
    <row r="3965" spans="1:4" outlineLevel="1" x14ac:dyDescent="0.25">
      <c r="A3965" t="s">
        <v>508</v>
      </c>
      <c r="B3965" t="s">
        <v>3</v>
      </c>
      <c r="C3965" s="1" t="str">
        <f>HYPERLINK("http://продеталь.рф/search.html?article=ZMB1179R","ZMB1179R")</f>
        <v>ZMB1179R</v>
      </c>
      <c r="D3965" t="s">
        <v>6</v>
      </c>
    </row>
    <row r="3966" spans="1:4" outlineLevel="1" x14ac:dyDescent="0.25">
      <c r="A3966" t="s">
        <v>508</v>
      </c>
      <c r="B3966" t="s">
        <v>139</v>
      </c>
      <c r="C3966" s="1" t="str">
        <f>HYPERLINK("http://продеталь.рф/search.html?article=MB50015H2","MB50015H2")</f>
        <v>MB50015H2</v>
      </c>
      <c r="D3966" t="s">
        <v>9</v>
      </c>
    </row>
    <row r="3967" spans="1:4" outlineLevel="1" x14ac:dyDescent="0.25">
      <c r="A3967" t="s">
        <v>508</v>
      </c>
      <c r="B3967" t="s">
        <v>5</v>
      </c>
      <c r="C3967" s="1" t="str">
        <f>HYPERLINK("http://продеталь.рф/search.html?article=MB50016L2","MB50016L2")</f>
        <v>MB50016L2</v>
      </c>
      <c r="D3967" t="s">
        <v>9</v>
      </c>
    </row>
    <row r="3968" spans="1:4" outlineLevel="1" x14ac:dyDescent="0.25">
      <c r="A3968" t="s">
        <v>508</v>
      </c>
      <c r="B3968" t="s">
        <v>28</v>
      </c>
      <c r="C3968" s="1" t="str">
        <f>HYPERLINK("http://продеталь.рф/search.html?article=YT28146","YT28146")</f>
        <v>YT28146</v>
      </c>
      <c r="D3968" t="s">
        <v>2</v>
      </c>
    </row>
    <row r="3969" spans="1:4" outlineLevel="1" x14ac:dyDescent="0.25">
      <c r="A3969" t="s">
        <v>508</v>
      </c>
      <c r="B3969" t="s">
        <v>8</v>
      </c>
      <c r="C3969" s="1" t="str">
        <f>HYPERLINK("http://продеталь.рф/search.html?article=YTD42761","YTD42761")</f>
        <v>YTD42761</v>
      </c>
      <c r="D3969" t="s">
        <v>2</v>
      </c>
    </row>
    <row r="3970" spans="1:4" outlineLevel="1" x14ac:dyDescent="0.25">
      <c r="A3970" t="s">
        <v>508</v>
      </c>
      <c r="B3970" t="s">
        <v>12</v>
      </c>
      <c r="C3970" s="1" t="str">
        <f>HYPERLINK("http://продеталь.рф/search.html?article=MB500932","MB500932")</f>
        <v>MB500932</v>
      </c>
      <c r="D3970" t="s">
        <v>9</v>
      </c>
    </row>
    <row r="3971" spans="1:4" outlineLevel="1" x14ac:dyDescent="0.25">
      <c r="A3971" t="s">
        <v>508</v>
      </c>
      <c r="B3971" t="s">
        <v>71</v>
      </c>
      <c r="C3971" s="1" t="str">
        <f>HYPERLINK("http://продеталь.рф/search.html?article=MB05001VA","MB05001VA")</f>
        <v>MB05001VA</v>
      </c>
      <c r="D3971" t="s">
        <v>2</v>
      </c>
    </row>
    <row r="3972" spans="1:4" outlineLevel="1" x14ac:dyDescent="0.25">
      <c r="A3972" t="s">
        <v>508</v>
      </c>
      <c r="B3972" t="s">
        <v>75</v>
      </c>
      <c r="C3972" s="1" t="str">
        <f>HYPERLINK("http://продеталь.рф/search.html?article=ZMB1404C","ZMB1404C")</f>
        <v>ZMB1404C</v>
      </c>
      <c r="D3972" t="s">
        <v>6</v>
      </c>
    </row>
    <row r="3973" spans="1:4" x14ac:dyDescent="0.25">
      <c r="A3973" t="s">
        <v>509</v>
      </c>
      <c r="B3973" s="2" t="s">
        <v>509</v>
      </c>
      <c r="C3973" s="2"/>
      <c r="D3973" s="2"/>
    </row>
    <row r="3974" spans="1:4" outlineLevel="1" x14ac:dyDescent="0.25">
      <c r="A3974" t="s">
        <v>509</v>
      </c>
      <c r="B3974" t="s">
        <v>35</v>
      </c>
      <c r="C3974" s="1" t="str">
        <f>HYPERLINK("http://продеталь.рф/search.html?article=PMB60009AL","PMB60009AL")</f>
        <v>PMB60009AL</v>
      </c>
      <c r="D3974" t="s">
        <v>6</v>
      </c>
    </row>
    <row r="3975" spans="1:4" outlineLevel="1" x14ac:dyDescent="0.25">
      <c r="A3975" t="s">
        <v>509</v>
      </c>
      <c r="B3975" t="s">
        <v>1</v>
      </c>
      <c r="C3975" s="1" t="str">
        <f>HYPERLINK("http://продеталь.рф/search.html?article=PMB20047A","PMB20047A")</f>
        <v>PMB20047A</v>
      </c>
      <c r="D3975" t="s">
        <v>6</v>
      </c>
    </row>
    <row r="3976" spans="1:4" outlineLevel="1" x14ac:dyDescent="0.25">
      <c r="A3976" t="s">
        <v>509</v>
      </c>
      <c r="B3976" t="s">
        <v>84</v>
      </c>
      <c r="C3976" s="1" t="str">
        <f>HYPERLINK("http://продеталь.рф/search.html?article=367MBF001","367MBF001")</f>
        <v>367MBF001</v>
      </c>
      <c r="D3976" t="s">
        <v>4</v>
      </c>
    </row>
    <row r="3977" spans="1:4" outlineLevel="1" x14ac:dyDescent="0.25">
      <c r="A3977" t="s">
        <v>509</v>
      </c>
      <c r="B3977" t="s">
        <v>84</v>
      </c>
      <c r="C3977" s="1" t="str">
        <f>HYPERLINK("http://продеталь.рф/search.html?article=367MBF003","367MBF003")</f>
        <v>367MBF003</v>
      </c>
      <c r="D3977" t="s">
        <v>4</v>
      </c>
    </row>
    <row r="3978" spans="1:4" outlineLevel="1" x14ac:dyDescent="0.25">
      <c r="A3978" t="s">
        <v>509</v>
      </c>
      <c r="B3978" t="s">
        <v>84</v>
      </c>
      <c r="C3978" s="1" t="str">
        <f>HYPERLINK("http://продеталь.рф/search.html?article=PMB43107AL","PMB43107AL")</f>
        <v>PMB43107AL</v>
      </c>
      <c r="D3978" t="s">
        <v>6</v>
      </c>
    </row>
    <row r="3979" spans="1:4" outlineLevel="1" x14ac:dyDescent="0.25">
      <c r="A3979" t="s">
        <v>509</v>
      </c>
      <c r="B3979" t="s">
        <v>3</v>
      </c>
      <c r="C3979" s="1" t="str">
        <f>HYPERLINK("http://продеталь.рф/search.html?article=20C159052B","20C159052B")</f>
        <v>20C159052B</v>
      </c>
      <c r="D3979" t="s">
        <v>4</v>
      </c>
    </row>
    <row r="3980" spans="1:4" outlineLevel="1" x14ac:dyDescent="0.25">
      <c r="A3980" t="s">
        <v>509</v>
      </c>
      <c r="B3980" t="s">
        <v>8</v>
      </c>
      <c r="C3980" s="1" t="str">
        <f>HYPERLINK("http://продеталь.рф/search.html?article=MB39033A","MB39033A")</f>
        <v>MB39033A</v>
      </c>
      <c r="D3980" t="s">
        <v>2</v>
      </c>
    </row>
    <row r="3981" spans="1:4" outlineLevel="1" x14ac:dyDescent="0.25">
      <c r="A3981" t="s">
        <v>509</v>
      </c>
      <c r="B3981" t="s">
        <v>30</v>
      </c>
      <c r="C3981" s="1" t="str">
        <f>HYPERLINK("http://продеталь.рф/search.html?article=PMB99213CA","PMB99213CA")</f>
        <v>PMB99213CA</v>
      </c>
      <c r="D3981" t="s">
        <v>6</v>
      </c>
    </row>
    <row r="3982" spans="1:4" outlineLevel="1" x14ac:dyDescent="0.25">
      <c r="A3982" t="s">
        <v>509</v>
      </c>
      <c r="B3982" t="s">
        <v>40</v>
      </c>
      <c r="C3982" s="1" t="str">
        <f>HYPERLINK("http://продеталь.рф/search.html?article=PMB99016GA","PMB99016GA")</f>
        <v>PMB99016GA</v>
      </c>
      <c r="D3982" t="s">
        <v>6</v>
      </c>
    </row>
    <row r="3983" spans="1:4" outlineLevel="1" x14ac:dyDescent="0.25">
      <c r="A3983" t="s">
        <v>509</v>
      </c>
      <c r="B3983" t="s">
        <v>71</v>
      </c>
      <c r="C3983" s="1" t="str">
        <f>HYPERLINK("http://продеталь.рф/search.html?article=MB50101300000","MB50101300000")</f>
        <v>MB50101300000</v>
      </c>
      <c r="D3983" t="s">
        <v>9</v>
      </c>
    </row>
    <row r="3984" spans="1:4" outlineLevel="1" x14ac:dyDescent="0.25">
      <c r="A3984" t="s">
        <v>509</v>
      </c>
      <c r="B3984" t="s">
        <v>71</v>
      </c>
      <c r="C3984" s="1" t="str">
        <f>HYPERLINK("http://продеталь.рф/search.html?article=PMB02001AR","PMB02001AR")</f>
        <v>PMB02001AR</v>
      </c>
      <c r="D3984" t="s">
        <v>6</v>
      </c>
    </row>
    <row r="3985" spans="1:4" outlineLevel="1" x14ac:dyDescent="0.25">
      <c r="A3985" t="s">
        <v>509</v>
      </c>
      <c r="B3985" t="s">
        <v>13</v>
      </c>
      <c r="C3985" s="1" t="str">
        <f>HYPERLINK("http://продеталь.рф/search.html?article=MB501000R0000","MB501000R0000")</f>
        <v>MB501000R0000</v>
      </c>
      <c r="D3985" t="s">
        <v>9</v>
      </c>
    </row>
    <row r="3986" spans="1:4" x14ac:dyDescent="0.25">
      <c r="A3986" t="s">
        <v>510</v>
      </c>
      <c r="B3986" s="2" t="s">
        <v>510</v>
      </c>
      <c r="C3986" s="2"/>
      <c r="D3986" s="2"/>
    </row>
    <row r="3987" spans="1:4" outlineLevel="1" x14ac:dyDescent="0.25">
      <c r="A3987" t="s">
        <v>510</v>
      </c>
      <c r="B3987" t="s">
        <v>11</v>
      </c>
      <c r="C3987" s="1" t="str">
        <f>HYPERLINK("http://продеталь.рф/search.html?article=PMB04148BB","PMB04148BB")</f>
        <v>PMB04148BB</v>
      </c>
      <c r="D3987" t="s">
        <v>6</v>
      </c>
    </row>
    <row r="3988" spans="1:4" outlineLevel="1" x14ac:dyDescent="0.25">
      <c r="A3988" t="s">
        <v>510</v>
      </c>
      <c r="B3988" t="s">
        <v>24</v>
      </c>
      <c r="C3988" s="1" t="str">
        <f>HYPERLINK("http://продеталь.рф/search.html?article=99D32AL","99D32AL")</f>
        <v>99D32AL</v>
      </c>
      <c r="D3988" t="s">
        <v>36</v>
      </c>
    </row>
    <row r="3989" spans="1:4" outlineLevel="1" x14ac:dyDescent="0.25">
      <c r="A3989" t="s">
        <v>510</v>
      </c>
      <c r="B3989" t="s">
        <v>103</v>
      </c>
      <c r="C3989" s="1" t="str">
        <f>HYPERLINK("http://продеталь.рф/search.html?article=PMB99162GAL","PMB99162GAL")</f>
        <v>PMB99162GAL</v>
      </c>
      <c r="D3989" t="s">
        <v>6</v>
      </c>
    </row>
    <row r="3990" spans="1:4" outlineLevel="1" x14ac:dyDescent="0.25">
      <c r="A3990" t="s">
        <v>510</v>
      </c>
      <c r="B3990" t="s">
        <v>103</v>
      </c>
      <c r="C3990" s="1" t="str">
        <f>HYPERLINK("http://продеталь.рф/search.html?article=PMB99162GAR","PMB99162GAR")</f>
        <v>PMB99162GAR</v>
      </c>
      <c r="D3990" t="s">
        <v>6</v>
      </c>
    </row>
    <row r="3991" spans="1:4" outlineLevel="1" x14ac:dyDescent="0.25">
      <c r="A3991" t="s">
        <v>510</v>
      </c>
      <c r="B3991" t="s">
        <v>139</v>
      </c>
      <c r="C3991" s="1" t="str">
        <f>HYPERLINK("http://продеталь.рф/search.html?article=390MB0024","390MB0024")</f>
        <v>390MB0024</v>
      </c>
      <c r="D3991" t="s">
        <v>4</v>
      </c>
    </row>
    <row r="3992" spans="1:4" outlineLevel="1" x14ac:dyDescent="0.25">
      <c r="A3992" t="s">
        <v>510</v>
      </c>
      <c r="B3992" t="s">
        <v>139</v>
      </c>
      <c r="C3992" s="1" t="str">
        <f>HYPERLINK("http://продеталь.рф/search.html?article=390MB0023","390MB0023")</f>
        <v>390MB0023</v>
      </c>
      <c r="D3992" t="s">
        <v>4</v>
      </c>
    </row>
    <row r="3993" spans="1:4" outlineLevel="1" x14ac:dyDescent="0.25">
      <c r="A3993" t="s">
        <v>510</v>
      </c>
      <c r="B3993" t="s">
        <v>263</v>
      </c>
      <c r="C3993" s="1" t="str">
        <f>HYPERLINK("http://продеталь.рф/search.html?article=PMB30041AR","PMB30041AR")</f>
        <v>PMB30041AR</v>
      </c>
      <c r="D3993" t="s">
        <v>6</v>
      </c>
    </row>
    <row r="3994" spans="1:4" outlineLevel="1" x14ac:dyDescent="0.25">
      <c r="A3994" t="s">
        <v>510</v>
      </c>
      <c r="B3994" t="s">
        <v>12</v>
      </c>
      <c r="C3994" s="1" t="str">
        <f>HYPERLINK("http://продеталь.рф/search.html?article=PMB07151GAK","PMB07151GAK")</f>
        <v>PMB07151GAK</v>
      </c>
      <c r="D3994" t="s">
        <v>6</v>
      </c>
    </row>
    <row r="3995" spans="1:4" x14ac:dyDescent="0.25">
      <c r="A3995" t="s">
        <v>511</v>
      </c>
      <c r="B3995" s="2" t="s">
        <v>511</v>
      </c>
      <c r="C3995" s="2"/>
      <c r="D3995" s="2"/>
    </row>
    <row r="3996" spans="1:4" outlineLevel="1" x14ac:dyDescent="0.25">
      <c r="A3996" t="s">
        <v>511</v>
      </c>
      <c r="B3996" t="s">
        <v>11</v>
      </c>
      <c r="C3996" s="1" t="str">
        <f>HYPERLINK("http://продеталь.рф/search.html?article=MBY50000","MBY50000")</f>
        <v>MBY50000</v>
      </c>
      <c r="D3996" t="s">
        <v>9</v>
      </c>
    </row>
    <row r="3997" spans="1:4" outlineLevel="1" x14ac:dyDescent="0.25">
      <c r="A3997" t="s">
        <v>511</v>
      </c>
      <c r="B3997" t="s">
        <v>1</v>
      </c>
      <c r="C3997" s="1" t="str">
        <f>HYPERLINK("http://продеталь.рф/search.html?article=MB20018A","MB20018A")</f>
        <v>MB20018A</v>
      </c>
      <c r="D3997" t="s">
        <v>2</v>
      </c>
    </row>
    <row r="3998" spans="1:4" outlineLevel="1" x14ac:dyDescent="0.25">
      <c r="A3998" t="s">
        <v>511</v>
      </c>
      <c r="B3998" t="s">
        <v>3</v>
      </c>
      <c r="C3998" s="1" t="str">
        <f>HYPERLINK("http://продеталь.рф/search.html?article=203117016B","203117016B")</f>
        <v>203117016B</v>
      </c>
      <c r="D3998" t="s">
        <v>4</v>
      </c>
    </row>
    <row r="3999" spans="1:4" outlineLevel="1" x14ac:dyDescent="0.25">
      <c r="A3999" t="s">
        <v>511</v>
      </c>
      <c r="B3999" t="s">
        <v>3</v>
      </c>
      <c r="C3999" s="1" t="str">
        <f>HYPERLINK("http://продеталь.рф/search.html?article=203116016B","203116016B")</f>
        <v>203116016B</v>
      </c>
      <c r="D3999" t="s">
        <v>4</v>
      </c>
    </row>
    <row r="4000" spans="1:4" outlineLevel="1" x14ac:dyDescent="0.25">
      <c r="A4000" t="s">
        <v>511</v>
      </c>
      <c r="B4000" t="s">
        <v>12</v>
      </c>
      <c r="C4000" s="1" t="str">
        <f>HYPERLINK("http://продеталь.рф/search.html?article=MB07088GA","MB07088GA")</f>
        <v>MB07088GA</v>
      </c>
      <c r="D4000" t="s">
        <v>2</v>
      </c>
    </row>
    <row r="4001" spans="1:4" outlineLevel="1" x14ac:dyDescent="0.25">
      <c r="A4001" t="s">
        <v>511</v>
      </c>
      <c r="B4001" t="s">
        <v>16</v>
      </c>
      <c r="C4001" s="1" t="str">
        <f>HYPERLINK("http://продеталь.рф/search.html?article=183035006B","183035006B")</f>
        <v>183035006B</v>
      </c>
      <c r="D4001" t="s">
        <v>4</v>
      </c>
    </row>
    <row r="4002" spans="1:4" outlineLevel="1" x14ac:dyDescent="0.25">
      <c r="A4002" t="s">
        <v>511</v>
      </c>
      <c r="B4002" t="s">
        <v>16</v>
      </c>
      <c r="C4002" s="1" t="str">
        <f>HYPERLINK("http://продеталь.рф/search.html?article=183034006B","183034006B")</f>
        <v>183034006B</v>
      </c>
      <c r="D4002" t="s">
        <v>4</v>
      </c>
    </row>
    <row r="4003" spans="1:4" x14ac:dyDescent="0.25">
      <c r="A4003" t="s">
        <v>512</v>
      </c>
      <c r="B4003" s="2" t="s">
        <v>512</v>
      </c>
      <c r="C4003" s="2"/>
      <c r="D4003" s="2"/>
    </row>
    <row r="4004" spans="1:4" outlineLevel="1" x14ac:dyDescent="0.25">
      <c r="A4004" t="s">
        <v>512</v>
      </c>
      <c r="B4004" t="s">
        <v>11</v>
      </c>
      <c r="C4004" s="1" t="str">
        <f>HYPERLINK("http://продеталь.рф/search.html?article=MB8530000C000","MB8530000C000")</f>
        <v>MB8530000C000</v>
      </c>
      <c r="D4004" t="s">
        <v>9</v>
      </c>
    </row>
    <row r="4005" spans="1:4" outlineLevel="1" x14ac:dyDescent="0.25">
      <c r="A4005" t="s">
        <v>512</v>
      </c>
      <c r="B4005" t="s">
        <v>23</v>
      </c>
      <c r="C4005" s="1" t="str">
        <f>HYPERLINK("http://продеталь.рф/search.html?article=ZMB1994L","ZMB1994L")</f>
        <v>ZMB1994L</v>
      </c>
      <c r="D4005" t="s">
        <v>6</v>
      </c>
    </row>
    <row r="4006" spans="1:4" outlineLevel="1" x14ac:dyDescent="0.25">
      <c r="A4006" t="s">
        <v>512</v>
      </c>
      <c r="B4006" t="s">
        <v>24</v>
      </c>
      <c r="C4006" s="1" t="str">
        <f>HYPERLINK("http://продеталь.рф/search.html?article=MBY7016M1","MBY7016M1")</f>
        <v>MBY7016M1</v>
      </c>
      <c r="D4006" t="s">
        <v>9</v>
      </c>
    </row>
    <row r="4007" spans="1:4" outlineLevel="1" x14ac:dyDescent="0.25">
      <c r="A4007" t="s">
        <v>512</v>
      </c>
      <c r="B4007" t="s">
        <v>40</v>
      </c>
      <c r="C4007" s="1" t="str">
        <f>HYPERLINK("http://продеталь.рф/search.html?article=PMB99021ALR","PMB99021ALR")</f>
        <v>PMB99021ALR</v>
      </c>
      <c r="D4007" t="s">
        <v>6</v>
      </c>
    </row>
    <row r="4008" spans="1:4" outlineLevel="1" x14ac:dyDescent="0.25">
      <c r="A4008" t="s">
        <v>512</v>
      </c>
      <c r="B4008" t="s">
        <v>12</v>
      </c>
      <c r="C4008" s="1" t="str">
        <f>HYPERLINK("http://продеталь.рф/search.html?article=MB07111GB","MB07111GB")</f>
        <v>MB07111GB</v>
      </c>
      <c r="D4008" t="s">
        <v>2</v>
      </c>
    </row>
    <row r="4009" spans="1:4" outlineLevel="1" x14ac:dyDescent="0.25">
      <c r="A4009" t="s">
        <v>512</v>
      </c>
      <c r="B4009" t="s">
        <v>12</v>
      </c>
      <c r="C4009" s="1" t="str">
        <f>HYPERLINK("http://продеталь.рф/search.html?article=MB07123GA","MB07123GA")</f>
        <v>MB07123GA</v>
      </c>
      <c r="D4009" t="s">
        <v>2</v>
      </c>
    </row>
    <row r="4010" spans="1:4" outlineLevel="1" x14ac:dyDescent="0.25">
      <c r="A4010" t="s">
        <v>512</v>
      </c>
      <c r="B4010" t="s">
        <v>13</v>
      </c>
      <c r="C4010" s="1" t="str">
        <f>HYPERLINK("http://продеталь.рф/search.html?article=MBY7000RL0","MBY7000RL0")</f>
        <v>MBY7000RL0</v>
      </c>
      <c r="D4010" t="s">
        <v>9</v>
      </c>
    </row>
    <row r="4011" spans="1:4" outlineLevel="1" x14ac:dyDescent="0.25">
      <c r="A4011" t="s">
        <v>512</v>
      </c>
      <c r="B4011" t="s">
        <v>13</v>
      </c>
      <c r="C4011" s="1" t="str">
        <f>HYPERLINK("http://продеталь.рф/search.html?article=PMB44119A","PMB44119A")</f>
        <v>PMB44119A</v>
      </c>
      <c r="D4011" t="s">
        <v>6</v>
      </c>
    </row>
    <row r="4012" spans="1:4" x14ac:dyDescent="0.25">
      <c r="A4012" t="s">
        <v>513</v>
      </c>
      <c r="B4012" s="2" t="s">
        <v>513</v>
      </c>
      <c r="C4012" s="2"/>
      <c r="D4012" s="2"/>
    </row>
    <row r="4013" spans="1:4" outlineLevel="1" x14ac:dyDescent="0.25">
      <c r="A4013" t="s">
        <v>513</v>
      </c>
      <c r="B4013" t="s">
        <v>5</v>
      </c>
      <c r="C4013" s="1" t="str">
        <f>HYPERLINK("http://продеталь.рф/search.html?article=MB11080AL","MB11080AL")</f>
        <v>MB11080AL</v>
      </c>
      <c r="D4013" t="s">
        <v>2</v>
      </c>
    </row>
    <row r="4014" spans="1:4" outlineLevel="1" x14ac:dyDescent="0.25">
      <c r="A4014" t="s">
        <v>513</v>
      </c>
      <c r="B4014" t="s">
        <v>5</v>
      </c>
      <c r="C4014" s="1" t="str">
        <f>HYPERLINK("http://продеталь.рф/search.html?article=MB11080AR","MB11080AR")</f>
        <v>MB11080AR</v>
      </c>
      <c r="D4014" t="s">
        <v>2</v>
      </c>
    </row>
    <row r="4015" spans="1:4" outlineLevel="1" x14ac:dyDescent="0.25">
      <c r="A4015" t="s">
        <v>513</v>
      </c>
      <c r="B4015" t="s">
        <v>12</v>
      </c>
      <c r="C4015" s="1" t="str">
        <f>HYPERLINK("http://продеталь.рф/search.html?article=PMB07156GA","PMB07156GA")</f>
        <v>PMB07156GA</v>
      </c>
      <c r="D4015" t="s">
        <v>6</v>
      </c>
    </row>
    <row r="4016" spans="1:4" x14ac:dyDescent="0.25">
      <c r="A4016" t="s">
        <v>514</v>
      </c>
      <c r="B4016" s="2" t="s">
        <v>514</v>
      </c>
      <c r="C4016" s="2"/>
      <c r="D4016" s="2"/>
    </row>
    <row r="4017" spans="1:4" outlineLevel="1" x14ac:dyDescent="0.25">
      <c r="A4017" t="s">
        <v>514</v>
      </c>
      <c r="B4017" t="s">
        <v>1</v>
      </c>
      <c r="C4017" s="1" t="str">
        <f>HYPERLINK("http://продеталь.рф/search.html?article=MB20031A","MB20031A")</f>
        <v>MB20031A</v>
      </c>
      <c r="D4017" t="s">
        <v>99</v>
      </c>
    </row>
    <row r="4018" spans="1:4" outlineLevel="1" x14ac:dyDescent="0.25">
      <c r="A4018" t="s">
        <v>514</v>
      </c>
      <c r="B4018" t="s">
        <v>84</v>
      </c>
      <c r="C4018" s="1" t="str">
        <f>HYPERLINK("http://продеталь.рф/search.html?article=MBY6000U2","MBY6000U2")</f>
        <v>MBY6000U2</v>
      </c>
      <c r="D4018" t="s">
        <v>9</v>
      </c>
    </row>
    <row r="4019" spans="1:4" outlineLevel="1" x14ac:dyDescent="0.25">
      <c r="A4019" t="s">
        <v>514</v>
      </c>
      <c r="B4019" t="s">
        <v>84</v>
      </c>
      <c r="C4019" s="1" t="str">
        <f>HYPERLINK("http://продеталь.рф/search.html?article=MBY6000U1","MBY6000U1")</f>
        <v>MBY6000U1</v>
      </c>
      <c r="D4019" t="s">
        <v>9</v>
      </c>
    </row>
    <row r="4020" spans="1:4" outlineLevel="1" x14ac:dyDescent="0.25">
      <c r="A4020" t="s">
        <v>514</v>
      </c>
      <c r="B4020" t="s">
        <v>24</v>
      </c>
      <c r="C4020" s="1" t="str">
        <f>HYPERLINK("http://продеталь.рф/search.html?article=MBY7016A1","MBY7016A1")</f>
        <v>MBY7016A1</v>
      </c>
      <c r="D4020" t="s">
        <v>9</v>
      </c>
    </row>
    <row r="4021" spans="1:4" outlineLevel="1" x14ac:dyDescent="0.25">
      <c r="A4021" t="s">
        <v>514</v>
      </c>
      <c r="B4021" t="s">
        <v>27</v>
      </c>
      <c r="C4021" s="1" t="str">
        <f>HYPERLINK("http://продеталь.рф/search.html?article=MBY70090","MBY70090")</f>
        <v>MBY70090</v>
      </c>
      <c r="D4021" t="s">
        <v>9</v>
      </c>
    </row>
    <row r="4022" spans="1:4" outlineLevel="1" x14ac:dyDescent="0.25">
      <c r="A4022" t="s">
        <v>514</v>
      </c>
      <c r="B4022" t="s">
        <v>27</v>
      </c>
      <c r="C4022" s="1" t="str">
        <f>HYPERLINK("http://продеталь.рф/search.html?article=PMB30037A","PMB30037A")</f>
        <v>PMB30037A</v>
      </c>
      <c r="D4022" t="s">
        <v>6</v>
      </c>
    </row>
    <row r="4023" spans="1:4" outlineLevel="1" x14ac:dyDescent="0.25">
      <c r="A4023" t="s">
        <v>514</v>
      </c>
      <c r="B4023" t="s">
        <v>5</v>
      </c>
      <c r="C4023" s="1" t="str">
        <f>HYPERLINK("http://продеталь.рф/search.html?article=MBY7016L1","MBY7016L1")</f>
        <v>MBY7016L1</v>
      </c>
      <c r="D4023" t="s">
        <v>9</v>
      </c>
    </row>
    <row r="4024" spans="1:4" outlineLevel="1" x14ac:dyDescent="0.25">
      <c r="A4024" t="s">
        <v>514</v>
      </c>
      <c r="B4024" t="s">
        <v>8</v>
      </c>
      <c r="C4024" s="1" t="str">
        <f>HYPERLINK("http://продеталь.рф/search.html?article=RC94497","RC94497")</f>
        <v>RC94497</v>
      </c>
      <c r="D4024" t="s">
        <v>6</v>
      </c>
    </row>
    <row r="4025" spans="1:4" outlineLevel="1" x14ac:dyDescent="0.25">
      <c r="A4025" t="s">
        <v>514</v>
      </c>
      <c r="B4025" t="s">
        <v>40</v>
      </c>
      <c r="C4025" s="1" t="str">
        <f>HYPERLINK("http://продеталь.рф/search.html?article=MB99003GAL","MB99003GAL")</f>
        <v>MB99003GAL</v>
      </c>
      <c r="D4025" t="s">
        <v>2</v>
      </c>
    </row>
    <row r="4026" spans="1:4" outlineLevel="1" x14ac:dyDescent="0.25">
      <c r="A4026" t="s">
        <v>514</v>
      </c>
      <c r="B4026" t="s">
        <v>40</v>
      </c>
      <c r="C4026" s="1" t="str">
        <f>HYPERLINK("http://продеталь.рф/search.html?article=MB99003GAR","MB99003GAR")</f>
        <v>MB99003GAR</v>
      </c>
      <c r="D4026" t="s">
        <v>2</v>
      </c>
    </row>
    <row r="4027" spans="1:4" x14ac:dyDescent="0.25">
      <c r="A4027" t="s">
        <v>515</v>
      </c>
      <c r="B4027" s="2" t="s">
        <v>515</v>
      </c>
      <c r="C4027" s="2"/>
      <c r="D4027" s="2"/>
    </row>
    <row r="4028" spans="1:4" outlineLevel="1" x14ac:dyDescent="0.25">
      <c r="A4028" t="s">
        <v>515</v>
      </c>
      <c r="B4028" t="s">
        <v>23</v>
      </c>
      <c r="C4028" s="1" t="str">
        <f>HYPERLINK("http://продеталь.рф/search.html?article=111023016","111023016")</f>
        <v>111023016</v>
      </c>
      <c r="D4028" t="s">
        <v>4</v>
      </c>
    </row>
    <row r="4029" spans="1:4" outlineLevel="1" x14ac:dyDescent="0.25">
      <c r="A4029" t="s">
        <v>515</v>
      </c>
      <c r="B4029" t="s">
        <v>24</v>
      </c>
      <c r="C4029" s="1" t="str">
        <f>HYPERLINK("http://продеталь.рф/search.html?article=DS10169AR","DS10169AR")</f>
        <v>DS10169AR</v>
      </c>
      <c r="D4029" t="s">
        <v>2</v>
      </c>
    </row>
    <row r="4030" spans="1:4" outlineLevel="1" x14ac:dyDescent="0.25">
      <c r="A4030" t="s">
        <v>515</v>
      </c>
      <c r="B4030" t="s">
        <v>27</v>
      </c>
      <c r="C4030" s="1" t="str">
        <f>HYPERLINK("http://продеталь.рф/search.html?article=DS30077A","DS30077A")</f>
        <v>DS30077A</v>
      </c>
      <c r="D4030" t="s">
        <v>2</v>
      </c>
    </row>
    <row r="4031" spans="1:4" outlineLevel="1" x14ac:dyDescent="0.25">
      <c r="A4031" t="s">
        <v>515</v>
      </c>
      <c r="B4031" t="s">
        <v>3</v>
      </c>
      <c r="C4031" s="1" t="str">
        <f>HYPERLINK("http://продеталь.рф/search.html?article=20A958056B","20A958056B")</f>
        <v>20A958056B</v>
      </c>
      <c r="D4031" t="s">
        <v>4</v>
      </c>
    </row>
    <row r="4032" spans="1:4" outlineLevel="1" x14ac:dyDescent="0.25">
      <c r="A4032" t="s">
        <v>515</v>
      </c>
      <c r="B4032" t="s">
        <v>5</v>
      </c>
      <c r="C4032" s="1" t="str">
        <f>HYPERLINK("http://продеталь.рф/search.html?article=306NSF225","306NSF225")</f>
        <v>306NSF225</v>
      </c>
      <c r="D4032" t="s">
        <v>4</v>
      </c>
    </row>
    <row r="4033" spans="1:4" outlineLevel="1" x14ac:dyDescent="0.25">
      <c r="A4033" t="s">
        <v>515</v>
      </c>
      <c r="B4033" t="s">
        <v>64</v>
      </c>
      <c r="C4033" s="1" t="str">
        <f>HYPERLINK("http://продеталь.рф/search.html?article=18A672012B","18A672012B")</f>
        <v>18A672012B</v>
      </c>
      <c r="D4033" t="s">
        <v>4</v>
      </c>
    </row>
    <row r="4034" spans="1:4" outlineLevel="1" x14ac:dyDescent="0.25">
      <c r="A4034" t="s">
        <v>515</v>
      </c>
      <c r="B4034" t="s">
        <v>64</v>
      </c>
      <c r="C4034" s="1" t="str">
        <f>HYPERLINK("http://продеталь.рф/search.html?article=18A671012B","18A671012B")</f>
        <v>18A671012B</v>
      </c>
      <c r="D4034" t="s">
        <v>4</v>
      </c>
    </row>
    <row r="4035" spans="1:4" outlineLevel="1" x14ac:dyDescent="0.25">
      <c r="A4035" t="s">
        <v>515</v>
      </c>
      <c r="B4035" t="s">
        <v>13</v>
      </c>
      <c r="C4035" s="1" t="str">
        <f>HYPERLINK("http://продеталь.рф/search.html?article=PDS44224A","PDS44224A")</f>
        <v>PDS44224A</v>
      </c>
      <c r="D4035" t="s">
        <v>6</v>
      </c>
    </row>
    <row r="4036" spans="1:4" x14ac:dyDescent="0.25">
      <c r="A4036" t="s">
        <v>516</v>
      </c>
      <c r="B4036" s="2" t="s">
        <v>516</v>
      </c>
      <c r="C4036" s="2"/>
      <c r="D4036" s="2"/>
    </row>
    <row r="4037" spans="1:4" outlineLevel="1" x14ac:dyDescent="0.25">
      <c r="A4037" t="s">
        <v>516</v>
      </c>
      <c r="B4037" t="s">
        <v>11</v>
      </c>
      <c r="C4037" s="1" t="str">
        <f>HYPERLINK("http://продеталь.рф/search.html?article=DS04105BA","DS04105BA")</f>
        <v>DS04105BA</v>
      </c>
      <c r="D4037" t="s">
        <v>2</v>
      </c>
    </row>
    <row r="4038" spans="1:4" outlineLevel="1" x14ac:dyDescent="0.25">
      <c r="A4038" t="s">
        <v>516</v>
      </c>
      <c r="B4038" t="s">
        <v>11</v>
      </c>
      <c r="C4038" s="1" t="str">
        <f>HYPERLINK("http://продеталь.рф/search.html?article=DS04139BAV","DS04139BAV")</f>
        <v>DS04139BAV</v>
      </c>
      <c r="D4038" t="s">
        <v>2</v>
      </c>
    </row>
    <row r="4039" spans="1:4" outlineLevel="1" x14ac:dyDescent="0.25">
      <c r="A4039" t="s">
        <v>516</v>
      </c>
      <c r="B4039" t="s">
        <v>15</v>
      </c>
      <c r="C4039" s="1" t="str">
        <f>HYPERLINK("http://продеталь.рф/search.html?article=3240017","3240017")</f>
        <v>3240017</v>
      </c>
      <c r="D4039" t="s">
        <v>4</v>
      </c>
    </row>
    <row r="4040" spans="1:4" outlineLevel="1" x14ac:dyDescent="0.25">
      <c r="A4040" t="s">
        <v>516</v>
      </c>
      <c r="B4040" t="s">
        <v>15</v>
      </c>
      <c r="C4040" s="1" t="str">
        <f>HYPERLINK("http://продеталь.рф/search.html?article=3240016","3240016")</f>
        <v>3240016</v>
      </c>
      <c r="D4040" t="s">
        <v>4</v>
      </c>
    </row>
    <row r="4041" spans="1:4" outlineLevel="1" x14ac:dyDescent="0.25">
      <c r="A4041" t="s">
        <v>516</v>
      </c>
      <c r="B4041" t="s">
        <v>15</v>
      </c>
      <c r="C4041" s="1" t="str">
        <f>HYPERLINK("http://продеталь.рф/search.html?article=3240015","3240015")</f>
        <v>3240015</v>
      </c>
      <c r="D4041" t="s">
        <v>4</v>
      </c>
    </row>
    <row r="4042" spans="1:4" outlineLevel="1" x14ac:dyDescent="0.25">
      <c r="A4042" t="s">
        <v>516</v>
      </c>
      <c r="B4042" t="s">
        <v>45</v>
      </c>
      <c r="C4042" s="1" t="str">
        <f>HYPERLINK("http://продеталь.рф/search.html?article=1629582","1629582")</f>
        <v>1629582</v>
      </c>
      <c r="D4042" t="s">
        <v>46</v>
      </c>
    </row>
    <row r="4043" spans="1:4" outlineLevel="1" x14ac:dyDescent="0.25">
      <c r="A4043" t="s">
        <v>516</v>
      </c>
      <c r="B4043" t="s">
        <v>45</v>
      </c>
      <c r="C4043" s="1" t="str">
        <f>HYPERLINK("http://продеталь.рф/search.html?article=1629583","1629583")</f>
        <v>1629583</v>
      </c>
      <c r="D4043" t="s">
        <v>46</v>
      </c>
    </row>
    <row r="4044" spans="1:4" outlineLevel="1" x14ac:dyDescent="0.25">
      <c r="A4044" t="s">
        <v>516</v>
      </c>
      <c r="B4044" t="s">
        <v>45</v>
      </c>
      <c r="C4044" s="1" t="str">
        <f>HYPERLINK("http://продеталь.рф/search.html?article=1629584","1629584")</f>
        <v>1629584</v>
      </c>
      <c r="D4044" t="s">
        <v>46</v>
      </c>
    </row>
    <row r="4045" spans="1:4" outlineLevel="1" x14ac:dyDescent="0.25">
      <c r="A4045" t="s">
        <v>516</v>
      </c>
      <c r="B4045" t="s">
        <v>1</v>
      </c>
      <c r="C4045" s="1" t="str">
        <f>HYPERLINK("http://продеталь.рф/search.html?article=DS20062A","DS20062A")</f>
        <v>DS20062A</v>
      </c>
      <c r="D4045" t="s">
        <v>2</v>
      </c>
    </row>
    <row r="4046" spans="1:4" outlineLevel="1" x14ac:dyDescent="0.25">
      <c r="A4046" t="s">
        <v>516</v>
      </c>
      <c r="B4046" t="s">
        <v>24</v>
      </c>
      <c r="C4046" s="1" t="str">
        <f>HYPERLINK("http://продеталь.рф/search.html?article=DS10082AL","DS10082AL")</f>
        <v>DS10082AL</v>
      </c>
      <c r="D4046" t="s">
        <v>2</v>
      </c>
    </row>
    <row r="4047" spans="1:4" outlineLevel="1" x14ac:dyDescent="0.25">
      <c r="A4047" t="s">
        <v>516</v>
      </c>
      <c r="B4047" t="s">
        <v>24</v>
      </c>
      <c r="C4047" s="1" t="str">
        <f>HYPERLINK("http://продеталь.рф/search.html?article=DS10082AR","DS10082AR")</f>
        <v>DS10082AR</v>
      </c>
      <c r="D4047" t="s">
        <v>2</v>
      </c>
    </row>
    <row r="4048" spans="1:4" outlineLevel="1" x14ac:dyDescent="0.25">
      <c r="A4048" t="s">
        <v>516</v>
      </c>
      <c r="B4048" t="s">
        <v>27</v>
      </c>
      <c r="C4048" s="1" t="str">
        <f>HYPERLINK("http://продеталь.рф/search.html?article=DT060090","DT060090")</f>
        <v>DT060090</v>
      </c>
      <c r="D4048" t="s">
        <v>9</v>
      </c>
    </row>
    <row r="4049" spans="1:4" outlineLevel="1" x14ac:dyDescent="0.25">
      <c r="A4049" t="s">
        <v>516</v>
      </c>
      <c r="B4049" t="s">
        <v>3</v>
      </c>
      <c r="C4049" s="1" t="str">
        <f>HYPERLINK("http://продеталь.рф/search.html?article=203641082","203641082")</f>
        <v>203641082</v>
      </c>
      <c r="D4049" t="s">
        <v>4</v>
      </c>
    </row>
    <row r="4050" spans="1:4" outlineLevel="1" x14ac:dyDescent="0.25">
      <c r="A4050" t="s">
        <v>516</v>
      </c>
      <c r="B4050" t="s">
        <v>3</v>
      </c>
      <c r="C4050" s="1" t="str">
        <f>HYPERLINK("http://продеталь.рф/search.html?article=203642082","203642082")</f>
        <v>203642082</v>
      </c>
      <c r="D4050" t="s">
        <v>4</v>
      </c>
    </row>
    <row r="4051" spans="1:4" outlineLevel="1" x14ac:dyDescent="0.25">
      <c r="A4051" t="s">
        <v>516</v>
      </c>
      <c r="B4051" t="s">
        <v>3</v>
      </c>
      <c r="C4051" s="1" t="str">
        <f>HYPERLINK("http://продеталь.рф/search.html?article=200146052","200146052")</f>
        <v>200146052</v>
      </c>
      <c r="D4051" t="s">
        <v>4</v>
      </c>
    </row>
    <row r="4052" spans="1:4" outlineLevel="1" x14ac:dyDescent="0.25">
      <c r="A4052" t="s">
        <v>516</v>
      </c>
      <c r="B4052" t="s">
        <v>3</v>
      </c>
      <c r="C4052" s="1" t="str">
        <f>HYPERLINK("http://продеталь.рф/search.html?article=200145052","200145052")</f>
        <v>200145052</v>
      </c>
      <c r="D4052" t="s">
        <v>4</v>
      </c>
    </row>
    <row r="4053" spans="1:4" outlineLevel="1" x14ac:dyDescent="0.25">
      <c r="A4053" t="s">
        <v>516</v>
      </c>
      <c r="B4053" t="s">
        <v>5</v>
      </c>
      <c r="C4053" s="1" t="str">
        <f>HYPERLINK("http://продеталь.рф/search.html?article=212609","212609")</f>
        <v>212609</v>
      </c>
      <c r="D4053" t="s">
        <v>21</v>
      </c>
    </row>
    <row r="4054" spans="1:4" outlineLevel="1" x14ac:dyDescent="0.25">
      <c r="A4054" t="s">
        <v>516</v>
      </c>
      <c r="B4054" t="s">
        <v>5</v>
      </c>
      <c r="C4054" s="1" t="str">
        <f>HYPERLINK("http://продеталь.рф/search.html?article=212610","212610")</f>
        <v>212610</v>
      </c>
      <c r="D4054" t="s">
        <v>21</v>
      </c>
    </row>
    <row r="4055" spans="1:4" outlineLevel="1" x14ac:dyDescent="0.25">
      <c r="A4055" t="s">
        <v>516</v>
      </c>
      <c r="B4055" t="s">
        <v>8</v>
      </c>
      <c r="C4055" s="1" t="str">
        <f>HYPERLINK("http://продеталь.рф/search.html?article=DT27394C0","DT27394C0")</f>
        <v>DT27394C0</v>
      </c>
      <c r="D4055" t="s">
        <v>9</v>
      </c>
    </row>
    <row r="4056" spans="1:4" outlineLevel="1" x14ac:dyDescent="0.25">
      <c r="A4056" t="s">
        <v>516</v>
      </c>
      <c r="B4056" t="s">
        <v>12</v>
      </c>
      <c r="C4056" s="1" t="str">
        <f>HYPERLINK("http://продеталь.рф/search.html?article=DT06093J0","DT06093J0")</f>
        <v>DT06093J0</v>
      </c>
      <c r="D4056" t="s">
        <v>9</v>
      </c>
    </row>
    <row r="4057" spans="1:4" outlineLevel="1" x14ac:dyDescent="0.25">
      <c r="A4057" t="s">
        <v>516</v>
      </c>
      <c r="B4057" t="s">
        <v>41</v>
      </c>
      <c r="C4057" s="1" t="str">
        <f>HYPERLINK("http://продеталь.рф/search.html?article=SDS1168L","SDS1168L")</f>
        <v>SDS1168L</v>
      </c>
      <c r="D4057" t="s">
        <v>63</v>
      </c>
    </row>
    <row r="4058" spans="1:4" outlineLevel="1" x14ac:dyDescent="0.25">
      <c r="A4058" t="s">
        <v>516</v>
      </c>
      <c r="B4058" t="s">
        <v>16</v>
      </c>
      <c r="C4058" s="1" t="str">
        <f>HYPERLINK("http://продеталь.рф/search.html?article=185251052","185251052")</f>
        <v>185251052</v>
      </c>
      <c r="D4058" t="s">
        <v>4</v>
      </c>
    </row>
    <row r="4059" spans="1:4" outlineLevel="1" x14ac:dyDescent="0.25">
      <c r="A4059" t="s">
        <v>516</v>
      </c>
      <c r="B4059" t="s">
        <v>16</v>
      </c>
      <c r="C4059" s="1" t="str">
        <f>HYPERLINK("http://продеталь.рф/search.html?article=180053052","180053052")</f>
        <v>180053052</v>
      </c>
      <c r="D4059" t="s">
        <v>4</v>
      </c>
    </row>
    <row r="4060" spans="1:4" outlineLevel="1" x14ac:dyDescent="0.25">
      <c r="A4060" t="s">
        <v>516</v>
      </c>
      <c r="B4060" t="s">
        <v>16</v>
      </c>
      <c r="C4060" s="1" t="str">
        <f>HYPERLINK("http://продеталь.рф/search.html?article=180054052","180054052")</f>
        <v>180054052</v>
      </c>
      <c r="D4060" t="s">
        <v>4</v>
      </c>
    </row>
    <row r="4061" spans="1:4" outlineLevel="1" x14ac:dyDescent="0.25">
      <c r="A4061" t="s">
        <v>516</v>
      </c>
      <c r="B4061" t="s">
        <v>13</v>
      </c>
      <c r="C4061" s="1" t="str">
        <f>HYPERLINK("http://продеталь.рф/search.html?article=1629940A1","1629940A1")</f>
        <v>1629940A1</v>
      </c>
      <c r="D4061" t="s">
        <v>46</v>
      </c>
    </row>
    <row r="4062" spans="1:4" x14ac:dyDescent="0.25">
      <c r="A4062" t="s">
        <v>517</v>
      </c>
      <c r="B4062" s="2" t="s">
        <v>517</v>
      </c>
      <c r="C4062" s="2"/>
      <c r="D4062" s="2"/>
    </row>
    <row r="4063" spans="1:4" outlineLevel="1" x14ac:dyDescent="0.25">
      <c r="A4063" t="s">
        <v>517</v>
      </c>
      <c r="B4063" t="s">
        <v>11</v>
      </c>
      <c r="C4063" s="1" t="str">
        <f>HYPERLINK("http://продеталь.рф/search.html?article=DS04166BA","DS04166BA")</f>
        <v>DS04166BA</v>
      </c>
      <c r="D4063" t="s">
        <v>99</v>
      </c>
    </row>
    <row r="4064" spans="1:4" outlineLevel="1" x14ac:dyDescent="0.25">
      <c r="A4064" t="s">
        <v>517</v>
      </c>
      <c r="B4064" t="s">
        <v>15</v>
      </c>
      <c r="C4064" s="1" t="str">
        <f>HYPERLINK("http://продеталь.рф/search.html?article=3240022","3240022")</f>
        <v>3240022</v>
      </c>
      <c r="D4064" t="s">
        <v>4</v>
      </c>
    </row>
    <row r="4065" spans="1:4" outlineLevel="1" x14ac:dyDescent="0.25">
      <c r="A4065" t="s">
        <v>517</v>
      </c>
      <c r="B4065" t="s">
        <v>331</v>
      </c>
      <c r="C4065" s="1" t="str">
        <f>HYPERLINK("http://продеталь.рф/search.html?article=DS22077A","DS22077A")</f>
        <v>DS22077A</v>
      </c>
      <c r="D4065" t="s">
        <v>2</v>
      </c>
    </row>
    <row r="4066" spans="1:4" outlineLevel="1" x14ac:dyDescent="0.25">
      <c r="A4066" t="s">
        <v>517</v>
      </c>
      <c r="B4066" t="s">
        <v>1</v>
      </c>
      <c r="C4066" s="1" t="str">
        <f>HYPERLINK("http://продеталь.рф/search.html?article=DS20078A","DS20078A")</f>
        <v>DS20078A</v>
      </c>
      <c r="D4066" t="s">
        <v>2</v>
      </c>
    </row>
    <row r="4067" spans="1:4" outlineLevel="1" x14ac:dyDescent="0.25">
      <c r="A4067" t="s">
        <v>517</v>
      </c>
      <c r="B4067" t="s">
        <v>1</v>
      </c>
      <c r="C4067" s="1" t="str">
        <f>HYPERLINK("http://продеталь.рф/search.html?article=DS20078B","DS20078B")</f>
        <v>DS20078B</v>
      </c>
      <c r="D4067" t="s">
        <v>2</v>
      </c>
    </row>
    <row r="4068" spans="1:4" outlineLevel="1" x14ac:dyDescent="0.25">
      <c r="A4068" t="s">
        <v>517</v>
      </c>
      <c r="B4068" t="s">
        <v>24</v>
      </c>
      <c r="C4068" s="1" t="str">
        <f>HYPERLINK("http://продеталь.рф/search.html?article=DT07016A1","DT07016A1")</f>
        <v>DT07016A1</v>
      </c>
      <c r="D4068" t="s">
        <v>9</v>
      </c>
    </row>
    <row r="4069" spans="1:4" outlineLevel="1" x14ac:dyDescent="0.25">
      <c r="A4069" t="s">
        <v>517</v>
      </c>
      <c r="B4069" t="s">
        <v>24</v>
      </c>
      <c r="C4069" s="1" t="str">
        <f>HYPERLINK("http://продеталь.рф/search.html?article=PDS10165AL","PDS10165AL")</f>
        <v>PDS10165AL</v>
      </c>
      <c r="D4069" t="s">
        <v>6</v>
      </c>
    </row>
    <row r="4070" spans="1:4" outlineLevel="1" x14ac:dyDescent="0.25">
      <c r="A4070" t="s">
        <v>517</v>
      </c>
      <c r="B4070" t="s">
        <v>24</v>
      </c>
      <c r="C4070" s="1" t="str">
        <f>HYPERLINK("http://продеталь.рф/search.html?article=PDS10165AR","PDS10165AR")</f>
        <v>PDS10165AR</v>
      </c>
      <c r="D4070" t="s">
        <v>6</v>
      </c>
    </row>
    <row r="4071" spans="1:4" outlineLevel="1" x14ac:dyDescent="0.25">
      <c r="A4071" t="s">
        <v>517</v>
      </c>
      <c r="B4071" t="s">
        <v>266</v>
      </c>
      <c r="C4071" s="1" t="str">
        <f>HYPERLINK("http://продеталь.рф/search.html?article=DS07299MAL","DS07299MAL")</f>
        <v>DS07299MAL</v>
      </c>
      <c r="D4071" t="s">
        <v>2</v>
      </c>
    </row>
    <row r="4072" spans="1:4" outlineLevel="1" x14ac:dyDescent="0.25">
      <c r="A4072" t="s">
        <v>517</v>
      </c>
      <c r="B4072" t="s">
        <v>266</v>
      </c>
      <c r="C4072" s="1" t="str">
        <f>HYPERLINK("http://продеталь.рф/search.html?article=DS07299MAR","DS07299MAR")</f>
        <v>DS07299MAR</v>
      </c>
      <c r="D4072" t="s">
        <v>2</v>
      </c>
    </row>
    <row r="4073" spans="1:4" outlineLevel="1" x14ac:dyDescent="0.25">
      <c r="A4073" t="s">
        <v>517</v>
      </c>
      <c r="B4073" t="s">
        <v>26</v>
      </c>
      <c r="C4073" s="1" t="str">
        <f>HYPERLINK("http://продеталь.рф/search.html?article=DT07000M1","DT07000M1")</f>
        <v>DT07000M1</v>
      </c>
      <c r="D4073" t="s">
        <v>9</v>
      </c>
    </row>
    <row r="4074" spans="1:4" outlineLevel="1" x14ac:dyDescent="0.25">
      <c r="A4074" t="s">
        <v>517</v>
      </c>
      <c r="B4074" t="s">
        <v>27</v>
      </c>
      <c r="C4074" s="1" t="str">
        <f>HYPERLINK("http://продеталь.рф/search.html?article=DT070090","DT070090")</f>
        <v>DT070090</v>
      </c>
      <c r="D4074" t="s">
        <v>9</v>
      </c>
    </row>
    <row r="4075" spans="1:4" outlineLevel="1" x14ac:dyDescent="0.25">
      <c r="A4075" t="s">
        <v>517</v>
      </c>
      <c r="B4075" t="s">
        <v>27</v>
      </c>
      <c r="C4075" s="1" t="str">
        <f>HYPERLINK("http://продеталь.рф/search.html?article=DS30045A","DS30045A")</f>
        <v>DS30045A</v>
      </c>
      <c r="D4075" t="s">
        <v>2</v>
      </c>
    </row>
    <row r="4076" spans="1:4" outlineLevel="1" x14ac:dyDescent="0.25">
      <c r="A4076" t="s">
        <v>517</v>
      </c>
      <c r="B4076" t="s">
        <v>3</v>
      </c>
      <c r="C4076" s="1" t="str">
        <f>HYPERLINK("http://продеталь.рф/search.html?article=205990052","205990052")</f>
        <v>205990052</v>
      </c>
      <c r="D4076" t="s">
        <v>4</v>
      </c>
    </row>
    <row r="4077" spans="1:4" outlineLevel="1" x14ac:dyDescent="0.25">
      <c r="A4077" t="s">
        <v>517</v>
      </c>
      <c r="B4077" t="s">
        <v>3</v>
      </c>
      <c r="C4077" s="1" t="str">
        <f>HYPERLINK("http://продеталь.рф/search.html?article=200366052","200366052")</f>
        <v>200366052</v>
      </c>
      <c r="D4077" t="s">
        <v>4</v>
      </c>
    </row>
    <row r="4078" spans="1:4" outlineLevel="1" x14ac:dyDescent="0.25">
      <c r="A4078" t="s">
        <v>517</v>
      </c>
      <c r="B4078" t="s">
        <v>3</v>
      </c>
      <c r="C4078" s="1" t="str">
        <f>HYPERLINK("http://продеталь.рф/search.html?article=200365052","200365052")</f>
        <v>200365052</v>
      </c>
      <c r="D4078" t="s">
        <v>4</v>
      </c>
    </row>
    <row r="4079" spans="1:4" outlineLevel="1" x14ac:dyDescent="0.25">
      <c r="A4079" t="s">
        <v>517</v>
      </c>
      <c r="B4079" t="s">
        <v>19</v>
      </c>
      <c r="C4079" s="1" t="str">
        <f>HYPERLINK("http://продеталь.рф/search.html?article=ZRN2008LK","ZRN2008LK")</f>
        <v>ZRN2008LK</v>
      </c>
      <c r="D4079" t="s">
        <v>6</v>
      </c>
    </row>
    <row r="4080" spans="1:4" outlineLevel="1" x14ac:dyDescent="0.25">
      <c r="A4080" t="s">
        <v>517</v>
      </c>
      <c r="B4080" t="s">
        <v>12</v>
      </c>
      <c r="C4080" s="1" t="str">
        <f>HYPERLINK("http://продеталь.рф/search.html?article=DS07223GAL","DS07223GAL")</f>
        <v>DS07223GAL</v>
      </c>
      <c r="D4080" t="s">
        <v>2</v>
      </c>
    </row>
    <row r="4081" spans="1:4" outlineLevel="1" x14ac:dyDescent="0.25">
      <c r="A4081" t="s">
        <v>517</v>
      </c>
      <c r="B4081" t="s">
        <v>12</v>
      </c>
      <c r="C4081" s="1" t="str">
        <f>HYPERLINK("http://продеталь.рф/search.html?article=DS07223GAR","DS07223GAR")</f>
        <v>DS07223GAR</v>
      </c>
      <c r="D4081" t="s">
        <v>2</v>
      </c>
    </row>
    <row r="4082" spans="1:4" outlineLevel="1" x14ac:dyDescent="0.25">
      <c r="A4082" t="s">
        <v>517</v>
      </c>
      <c r="B4082" t="s">
        <v>12</v>
      </c>
      <c r="C4082" s="1" t="str">
        <f>HYPERLINK("http://продеталь.рф/search.html?article=DS07299GAL","DS07299GAL")</f>
        <v>DS07299GAL</v>
      </c>
      <c r="D4082" t="s">
        <v>2</v>
      </c>
    </row>
    <row r="4083" spans="1:4" outlineLevel="1" x14ac:dyDescent="0.25">
      <c r="A4083" t="s">
        <v>517</v>
      </c>
      <c r="B4083" t="s">
        <v>118</v>
      </c>
      <c r="C4083" s="1" t="str">
        <f>HYPERLINK("http://продеталь.рф/search.html?article=SDS2050L","SDS2050L")</f>
        <v>SDS2050L</v>
      </c>
      <c r="D4083" t="s">
        <v>63</v>
      </c>
    </row>
    <row r="4084" spans="1:4" outlineLevel="1" x14ac:dyDescent="0.25">
      <c r="A4084" t="s">
        <v>517</v>
      </c>
      <c r="B4084" t="s">
        <v>118</v>
      </c>
      <c r="C4084" s="1" t="str">
        <f>HYPERLINK("http://продеталь.рф/search.html?article=SDS2050R","SDS2050R")</f>
        <v>SDS2050R</v>
      </c>
      <c r="D4084" t="s">
        <v>63</v>
      </c>
    </row>
    <row r="4085" spans="1:4" outlineLevel="1" x14ac:dyDescent="0.25">
      <c r="A4085" t="s">
        <v>517</v>
      </c>
      <c r="B4085" t="s">
        <v>16</v>
      </c>
      <c r="C4085" s="1" t="str">
        <f>HYPERLINK("http://продеталь.рф/search.html?article=185822052","185822052")</f>
        <v>185822052</v>
      </c>
      <c r="D4085" t="s">
        <v>4</v>
      </c>
    </row>
    <row r="4086" spans="1:4" outlineLevel="1" x14ac:dyDescent="0.25">
      <c r="A4086" t="s">
        <v>517</v>
      </c>
      <c r="B4086" t="s">
        <v>16</v>
      </c>
      <c r="C4086" s="1" t="str">
        <f>HYPERLINK("http://продеталь.рф/search.html?article=185821052","185821052")</f>
        <v>185821052</v>
      </c>
      <c r="D4086" t="s">
        <v>4</v>
      </c>
    </row>
    <row r="4087" spans="1:4" outlineLevel="1" x14ac:dyDescent="0.25">
      <c r="A4087" t="s">
        <v>517</v>
      </c>
      <c r="B4087" t="s">
        <v>13</v>
      </c>
      <c r="C4087" s="1" t="str">
        <f>HYPERLINK("http://продеталь.рф/search.html?article=DT07000RJ0","DT07000RJ0")</f>
        <v>DT07000RJ0</v>
      </c>
      <c r="D4087" t="s">
        <v>9</v>
      </c>
    </row>
    <row r="4088" spans="1:4" x14ac:dyDescent="0.25">
      <c r="A4088" t="s">
        <v>518</v>
      </c>
      <c r="B4088" s="2" t="s">
        <v>518</v>
      </c>
      <c r="C4088" s="2"/>
      <c r="D4088" s="2"/>
    </row>
    <row r="4089" spans="1:4" outlineLevel="1" x14ac:dyDescent="0.25">
      <c r="A4089" t="s">
        <v>518</v>
      </c>
      <c r="B4089" t="s">
        <v>11</v>
      </c>
      <c r="C4089" s="1" t="str">
        <f>HYPERLINK("http://продеталь.рф/search.html?article=DTV2000A0","DTV2000A0")</f>
        <v>DTV2000A0</v>
      </c>
      <c r="D4089" t="s">
        <v>9</v>
      </c>
    </row>
    <row r="4090" spans="1:4" outlineLevel="1" x14ac:dyDescent="0.25">
      <c r="A4090" t="s">
        <v>518</v>
      </c>
      <c r="B4090" t="s">
        <v>24</v>
      </c>
      <c r="C4090" s="1" t="str">
        <f>HYPERLINK("http://продеталь.рф/search.html?article=DS10116AL","DS10116AL")</f>
        <v>DS10116AL</v>
      </c>
      <c r="D4090" t="s">
        <v>2</v>
      </c>
    </row>
    <row r="4091" spans="1:4" outlineLevel="1" x14ac:dyDescent="0.25">
      <c r="A4091" t="s">
        <v>518</v>
      </c>
      <c r="B4091" t="s">
        <v>5</v>
      </c>
      <c r="C4091" s="1" t="str">
        <f>HYPERLINK("http://продеталь.рф/search.html?article=DS11116AL","DS11116AL")</f>
        <v>DS11116AL</v>
      </c>
      <c r="D4091" t="s">
        <v>2</v>
      </c>
    </row>
    <row r="4092" spans="1:4" outlineLevel="1" x14ac:dyDescent="0.25">
      <c r="A4092" t="s">
        <v>518</v>
      </c>
      <c r="B4092" t="s">
        <v>5</v>
      </c>
      <c r="C4092" s="1" t="str">
        <f>HYPERLINK("http://продеталь.рф/search.html?article=DS11116AR","DS11116AR")</f>
        <v>DS11116AR</v>
      </c>
      <c r="D4092" t="s">
        <v>2</v>
      </c>
    </row>
    <row r="4093" spans="1:4" outlineLevel="1" x14ac:dyDescent="0.25">
      <c r="A4093" t="s">
        <v>518</v>
      </c>
      <c r="B4093" t="s">
        <v>12</v>
      </c>
      <c r="C4093" s="1" t="str">
        <f>HYPERLINK("http://продеталь.рф/search.html?article=DTV2093A0","DTV2093A0")</f>
        <v>DTV2093A0</v>
      </c>
      <c r="D4093" t="s">
        <v>9</v>
      </c>
    </row>
    <row r="4094" spans="1:4" outlineLevel="1" x14ac:dyDescent="0.25">
      <c r="A4094" t="s">
        <v>518</v>
      </c>
      <c r="B4094" t="s">
        <v>12</v>
      </c>
      <c r="C4094" s="1" t="str">
        <f>HYPERLINK("http://продеталь.рф/search.html?article=PDS07265GB","PDS07265GB")</f>
        <v>PDS07265GB</v>
      </c>
      <c r="D4094" t="s">
        <v>6</v>
      </c>
    </row>
    <row r="4095" spans="1:4" x14ac:dyDescent="0.25">
      <c r="A4095" t="s">
        <v>519</v>
      </c>
      <c r="B4095" s="2" t="s">
        <v>519</v>
      </c>
      <c r="C4095" s="2"/>
      <c r="D4095" s="2"/>
    </row>
    <row r="4096" spans="1:4" outlineLevel="1" x14ac:dyDescent="0.25">
      <c r="A4096" t="s">
        <v>519</v>
      </c>
      <c r="B4096" t="s">
        <v>13</v>
      </c>
      <c r="C4096" s="1" t="str">
        <f>HYPERLINK("http://продеталь.рф/search.html?article=DT94000R0","DT94000R0")</f>
        <v>DT94000R0</v>
      </c>
      <c r="D4096" t="s">
        <v>9</v>
      </c>
    </row>
    <row r="4097" spans="1:4" x14ac:dyDescent="0.25">
      <c r="A4097" t="s">
        <v>520</v>
      </c>
      <c r="B4097" s="2" t="s">
        <v>520</v>
      </c>
      <c r="C4097" s="2"/>
      <c r="D4097" s="2"/>
    </row>
    <row r="4098" spans="1:4" outlineLevel="1" x14ac:dyDescent="0.25">
      <c r="A4098" t="s">
        <v>520</v>
      </c>
      <c r="B4098" t="s">
        <v>24</v>
      </c>
      <c r="C4098" s="1" t="str">
        <f>HYPERLINK("http://продеталь.рф/search.html?article=DT60101600R00","DT60101600R00")</f>
        <v>DT60101600R00</v>
      </c>
      <c r="D4098" t="s">
        <v>9</v>
      </c>
    </row>
    <row r="4099" spans="1:4" outlineLevel="1" x14ac:dyDescent="0.25">
      <c r="A4099" t="s">
        <v>520</v>
      </c>
      <c r="B4099" t="s">
        <v>147</v>
      </c>
      <c r="C4099" s="1" t="str">
        <f>HYPERLINK("http://продеталь.рф/search.html?article=175290009A","175290009A")</f>
        <v>175290009A</v>
      </c>
      <c r="D4099" t="s">
        <v>4</v>
      </c>
    </row>
    <row r="4100" spans="1:4" outlineLevel="1" x14ac:dyDescent="0.25">
      <c r="A4100" t="s">
        <v>520</v>
      </c>
      <c r="B4100" t="s">
        <v>3</v>
      </c>
      <c r="C4100" s="1" t="str">
        <f>HYPERLINK("http://продеталь.рф/search.html?article=125278001A","125278001A")</f>
        <v>125278001A</v>
      </c>
      <c r="D4100" t="s">
        <v>4</v>
      </c>
    </row>
    <row r="4101" spans="1:4" outlineLevel="1" x14ac:dyDescent="0.25">
      <c r="A4101" t="s">
        <v>520</v>
      </c>
      <c r="B4101" t="s">
        <v>3</v>
      </c>
      <c r="C4101" s="1" t="str">
        <f>HYPERLINK("http://продеталь.рф/search.html?article=125277001A","125277001A")</f>
        <v>125277001A</v>
      </c>
      <c r="D4101" t="s">
        <v>4</v>
      </c>
    </row>
    <row r="4102" spans="1:4" outlineLevel="1" x14ac:dyDescent="0.25">
      <c r="A4102" t="s">
        <v>520</v>
      </c>
      <c r="B4102" t="s">
        <v>5</v>
      </c>
      <c r="C4102" s="1" t="str">
        <f>HYPERLINK("http://продеталь.рф/search.html?article=DT601016L0L00","DT601016L0L00")</f>
        <v>DT601016L0L00</v>
      </c>
      <c r="D4102" t="s">
        <v>9</v>
      </c>
    </row>
    <row r="4103" spans="1:4" outlineLevel="1" x14ac:dyDescent="0.25">
      <c r="A4103" t="s">
        <v>520</v>
      </c>
      <c r="B4103" t="s">
        <v>8</v>
      </c>
      <c r="C4103" s="1" t="str">
        <f>HYPERLINK("http://продеталь.рф/search.html?article=RCNS2069","RCNS2069")</f>
        <v>RCNS2069</v>
      </c>
      <c r="D4103" t="s">
        <v>6</v>
      </c>
    </row>
    <row r="4104" spans="1:4" x14ac:dyDescent="0.25">
      <c r="A4104" t="s">
        <v>521</v>
      </c>
      <c r="B4104" s="2" t="s">
        <v>521</v>
      </c>
      <c r="C4104" s="2"/>
      <c r="D4104" s="2"/>
    </row>
    <row r="4105" spans="1:4" outlineLevel="1" x14ac:dyDescent="0.25">
      <c r="A4105" t="s">
        <v>521</v>
      </c>
      <c r="B4105" t="s">
        <v>12</v>
      </c>
      <c r="C4105" s="1" t="str">
        <f>HYPERLINK("http://продеталь.рф/search.html?article=DTX80930","DTX80930")</f>
        <v>DTX80930</v>
      </c>
      <c r="D4105" t="s">
        <v>9</v>
      </c>
    </row>
    <row r="4106" spans="1:4" x14ac:dyDescent="0.25">
      <c r="A4106" t="s">
        <v>522</v>
      </c>
      <c r="B4106" s="2" t="s">
        <v>522</v>
      </c>
      <c r="C4106" s="2"/>
      <c r="D4106" s="2"/>
    </row>
    <row r="4107" spans="1:4" outlineLevel="1" x14ac:dyDescent="0.25">
      <c r="A4107" t="s">
        <v>522</v>
      </c>
      <c r="B4107" t="s">
        <v>79</v>
      </c>
      <c r="C4107" s="1" t="str">
        <f>HYPERLINK("http://продеталь.рф/search.html?article=DS60003B","DS60003B")</f>
        <v>DS60003B</v>
      </c>
      <c r="D4107" t="s">
        <v>2</v>
      </c>
    </row>
    <row r="4108" spans="1:4" outlineLevel="1" x14ac:dyDescent="0.25">
      <c r="A4108" t="s">
        <v>522</v>
      </c>
      <c r="B4108" t="s">
        <v>1</v>
      </c>
      <c r="C4108" s="1" t="str">
        <f>HYPERLINK("http://продеталь.рф/search.html?article=DS20061A","DS20061A")</f>
        <v>DS20061A</v>
      </c>
      <c r="D4108" t="s">
        <v>2</v>
      </c>
    </row>
    <row r="4109" spans="1:4" outlineLevel="1" x14ac:dyDescent="0.25">
      <c r="A4109" t="s">
        <v>522</v>
      </c>
      <c r="B4109" t="s">
        <v>24</v>
      </c>
      <c r="C4109" s="1" t="str">
        <f>HYPERLINK("http://продеталь.рф/search.html?article=DTW10162","DTW10162")</f>
        <v>DTW10162</v>
      </c>
      <c r="D4109" t="s">
        <v>9</v>
      </c>
    </row>
    <row r="4110" spans="1:4" outlineLevel="1" x14ac:dyDescent="0.25">
      <c r="A4110" t="s">
        <v>522</v>
      </c>
      <c r="B4110" t="s">
        <v>3</v>
      </c>
      <c r="C4110" s="1" t="str">
        <f>HYPERLINK("http://продеталь.рф/search.html?article=203073016B","203073016B")</f>
        <v>203073016B</v>
      </c>
      <c r="D4110" t="s">
        <v>4</v>
      </c>
    </row>
    <row r="4111" spans="1:4" outlineLevel="1" x14ac:dyDescent="0.25">
      <c r="A4111" t="s">
        <v>522</v>
      </c>
      <c r="B4111" t="s">
        <v>3</v>
      </c>
      <c r="C4111" s="1" t="str">
        <f>HYPERLINK("http://продеталь.рф/search.html?article=203072016B","203072016B")</f>
        <v>203072016B</v>
      </c>
      <c r="D4111" t="s">
        <v>4</v>
      </c>
    </row>
    <row r="4112" spans="1:4" outlineLevel="1" x14ac:dyDescent="0.25">
      <c r="A4112" t="s">
        <v>522</v>
      </c>
      <c r="B4112" t="s">
        <v>5</v>
      </c>
      <c r="C4112" s="1" t="str">
        <f>HYPERLINK("http://продеталь.рф/search.html?article=DS11079AL","DS11079AL")</f>
        <v>DS11079AL</v>
      </c>
      <c r="D4112" t="s">
        <v>99</v>
      </c>
    </row>
    <row r="4113" spans="1:4" outlineLevel="1" x14ac:dyDescent="0.25">
      <c r="A4113" t="s">
        <v>522</v>
      </c>
      <c r="B4113" t="s">
        <v>5</v>
      </c>
      <c r="C4113" s="1" t="str">
        <f>HYPERLINK("http://продеталь.рф/search.html?article=DS11079AR","DS11079AR")</f>
        <v>DS11079AR</v>
      </c>
      <c r="D4113" t="s">
        <v>99</v>
      </c>
    </row>
    <row r="4114" spans="1:4" outlineLevel="1" x14ac:dyDescent="0.25">
      <c r="A4114" t="s">
        <v>522</v>
      </c>
      <c r="B4114" t="s">
        <v>41</v>
      </c>
      <c r="C4114" s="1" t="str">
        <f>HYPERLINK("http://продеталь.рф/search.html?article=SDS1165R","SDS1165R")</f>
        <v>SDS1165R</v>
      </c>
      <c r="D4114" t="s">
        <v>63</v>
      </c>
    </row>
    <row r="4115" spans="1:4" outlineLevel="1" x14ac:dyDescent="0.25">
      <c r="A4115" t="s">
        <v>522</v>
      </c>
      <c r="B4115" t="s">
        <v>118</v>
      </c>
      <c r="C4115" s="1" t="str">
        <f>HYPERLINK("http://продеталь.рф/search.html?article=SDS2012L","SDS2012L")</f>
        <v>SDS2012L</v>
      </c>
      <c r="D4115" t="s">
        <v>63</v>
      </c>
    </row>
    <row r="4116" spans="1:4" outlineLevel="1" x14ac:dyDescent="0.25">
      <c r="A4116" t="s">
        <v>522</v>
      </c>
      <c r="B4116" t="s">
        <v>16</v>
      </c>
      <c r="C4116" s="1" t="str">
        <f>HYPERLINK("http://продеталь.рф/search.html?article=183132016B","183132016B")</f>
        <v>183132016B</v>
      </c>
      <c r="D4116" t="s">
        <v>4</v>
      </c>
    </row>
    <row r="4117" spans="1:4" outlineLevel="1" x14ac:dyDescent="0.25">
      <c r="A4117" t="s">
        <v>522</v>
      </c>
      <c r="B4117" t="s">
        <v>278</v>
      </c>
      <c r="C4117" s="1" t="str">
        <f>HYPERLINK("http://продеталь.рф/search.html?article=DS44140A","DS44140A")</f>
        <v>DS44140A</v>
      </c>
      <c r="D4117" t="s">
        <v>2</v>
      </c>
    </row>
    <row r="4118" spans="1:4" x14ac:dyDescent="0.25">
      <c r="A4118" t="s">
        <v>523</v>
      </c>
      <c r="B4118" s="2" t="s">
        <v>523</v>
      </c>
      <c r="C4118" s="2"/>
      <c r="D4118" s="2"/>
    </row>
    <row r="4119" spans="1:4" outlineLevel="1" x14ac:dyDescent="0.25">
      <c r="A4119" t="s">
        <v>523</v>
      </c>
      <c r="B4119" t="s">
        <v>75</v>
      </c>
      <c r="C4119" s="1" t="str">
        <f>HYPERLINK("http://продеталь.рф/search.html?article=183501001","183501001")</f>
        <v>183501001</v>
      </c>
      <c r="D4119" t="s">
        <v>4</v>
      </c>
    </row>
    <row r="4120" spans="1:4" x14ac:dyDescent="0.25">
      <c r="A4120" t="s">
        <v>524</v>
      </c>
      <c r="B4120" s="2" t="s">
        <v>524</v>
      </c>
      <c r="C4120" s="2"/>
      <c r="D4120" s="2"/>
    </row>
    <row r="4121" spans="1:4" outlineLevel="1" x14ac:dyDescent="0.25">
      <c r="A4121" t="s">
        <v>524</v>
      </c>
      <c r="B4121" t="s">
        <v>11</v>
      </c>
      <c r="C4121" s="1" t="str">
        <f>HYPERLINK("http://продеталь.рф/search.html?article=DT47000000000","DT47000000000")</f>
        <v>DT47000000000</v>
      </c>
      <c r="D4121" t="s">
        <v>9</v>
      </c>
    </row>
    <row r="4122" spans="1:4" outlineLevel="1" x14ac:dyDescent="0.25">
      <c r="A4122" t="s">
        <v>524</v>
      </c>
      <c r="B4122" t="s">
        <v>11</v>
      </c>
      <c r="C4122" s="1" t="str">
        <f>HYPERLINK("http://продеталь.рф/search.html?article=DS04150BB","DS04150BB")</f>
        <v>DS04150BB</v>
      </c>
      <c r="D4122" t="s">
        <v>2</v>
      </c>
    </row>
    <row r="4123" spans="1:4" outlineLevel="1" x14ac:dyDescent="0.25">
      <c r="A4123" t="s">
        <v>524</v>
      </c>
      <c r="B4123" t="s">
        <v>11</v>
      </c>
      <c r="C4123" s="1" t="str">
        <f>HYPERLINK("http://продеталь.рф/search.html?article=DS04169BA","DS04169BA")</f>
        <v>DS04169BA</v>
      </c>
      <c r="D4123" t="s">
        <v>2</v>
      </c>
    </row>
    <row r="4124" spans="1:4" outlineLevel="1" x14ac:dyDescent="0.25">
      <c r="A4124" t="s">
        <v>524</v>
      </c>
      <c r="B4124" t="s">
        <v>79</v>
      </c>
      <c r="C4124" s="1" t="str">
        <f>HYPERLINK("http://продеталь.рф/search.html?article=DT47000400000","DT47000400000")</f>
        <v>DT47000400000</v>
      </c>
      <c r="D4124" t="s">
        <v>9</v>
      </c>
    </row>
    <row r="4125" spans="1:4" outlineLevel="1" x14ac:dyDescent="0.25">
      <c r="A4125" t="s">
        <v>524</v>
      </c>
      <c r="B4125" t="s">
        <v>24</v>
      </c>
      <c r="C4125" s="1" t="str">
        <f>HYPERLINK("http://продеталь.рф/search.html?article=DT47016E2","DT47016E2")</f>
        <v>DT47016E2</v>
      </c>
      <c r="D4125" t="s">
        <v>9</v>
      </c>
    </row>
    <row r="4126" spans="1:4" outlineLevel="1" x14ac:dyDescent="0.25">
      <c r="A4126" t="s">
        <v>524</v>
      </c>
      <c r="B4126" t="s">
        <v>27</v>
      </c>
      <c r="C4126" s="1" t="str">
        <f>HYPERLINK("http://продеталь.рф/search.html?article=DT47009B0","DT47009B0")</f>
        <v>DT47009B0</v>
      </c>
      <c r="D4126" t="s">
        <v>9</v>
      </c>
    </row>
    <row r="4127" spans="1:4" outlineLevel="1" x14ac:dyDescent="0.25">
      <c r="A4127" t="s">
        <v>524</v>
      </c>
      <c r="B4127" t="s">
        <v>3</v>
      </c>
      <c r="C4127" s="1" t="str">
        <f>HYPERLINK("http://продеталь.рф/search.html?article=203251282","203251282")</f>
        <v>203251282</v>
      </c>
      <c r="D4127" t="s">
        <v>4</v>
      </c>
    </row>
    <row r="4128" spans="1:4" outlineLevel="1" x14ac:dyDescent="0.25">
      <c r="A4128" t="s">
        <v>524</v>
      </c>
      <c r="B4128" t="s">
        <v>3</v>
      </c>
      <c r="C4128" s="1" t="str">
        <f>HYPERLINK("http://продеталь.рф/search.html?article=205544082","205544082")</f>
        <v>205544082</v>
      </c>
      <c r="D4128" t="s">
        <v>4</v>
      </c>
    </row>
    <row r="4129" spans="1:4" outlineLevel="1" x14ac:dyDescent="0.25">
      <c r="A4129" t="s">
        <v>524</v>
      </c>
      <c r="B4129" t="s">
        <v>3</v>
      </c>
      <c r="C4129" s="1" t="str">
        <f>HYPERLINK("http://продеталь.рф/search.html?article=205543082","205543082")</f>
        <v>205543082</v>
      </c>
      <c r="D4129" t="s">
        <v>4</v>
      </c>
    </row>
    <row r="4130" spans="1:4" outlineLevel="1" x14ac:dyDescent="0.25">
      <c r="A4130" t="s">
        <v>524</v>
      </c>
      <c r="B4130" t="s">
        <v>3</v>
      </c>
      <c r="C4130" s="1" t="str">
        <f>HYPERLINK("http://продеталь.рф/search.html?article=206276052","206276052")</f>
        <v>206276052</v>
      </c>
      <c r="D4130" t="s">
        <v>4</v>
      </c>
    </row>
    <row r="4131" spans="1:4" outlineLevel="1" x14ac:dyDescent="0.25">
      <c r="A4131" t="s">
        <v>524</v>
      </c>
      <c r="B4131" t="s">
        <v>3</v>
      </c>
      <c r="C4131" s="1" t="str">
        <f>HYPERLINK("http://продеталь.рф/search.html?article=206275052","206275052")</f>
        <v>206275052</v>
      </c>
      <c r="D4131" t="s">
        <v>4</v>
      </c>
    </row>
    <row r="4132" spans="1:4" outlineLevel="1" x14ac:dyDescent="0.25">
      <c r="A4132" t="s">
        <v>524</v>
      </c>
      <c r="B4132" t="s">
        <v>5</v>
      </c>
      <c r="C4132" s="1" t="str">
        <f>HYPERLINK("http://продеталь.рф/search.html?article=DS11071AR","DS11071AR")</f>
        <v>DS11071AR</v>
      </c>
      <c r="D4132" t="s">
        <v>2</v>
      </c>
    </row>
    <row r="4133" spans="1:4" outlineLevel="1" x14ac:dyDescent="0.25">
      <c r="A4133" t="s">
        <v>524</v>
      </c>
      <c r="B4133" t="s">
        <v>54</v>
      </c>
      <c r="C4133" s="1" t="str">
        <f>HYPERLINK("http://продеталь.рф/search.html?article=1608001","1608001")</f>
        <v>1608001</v>
      </c>
      <c r="D4133" t="s">
        <v>46</v>
      </c>
    </row>
    <row r="4134" spans="1:4" outlineLevel="1" x14ac:dyDescent="0.25">
      <c r="A4134" t="s">
        <v>524</v>
      </c>
      <c r="B4134" t="s">
        <v>54</v>
      </c>
      <c r="C4134" s="1" t="str">
        <f>HYPERLINK("http://продеталь.рф/search.html?article=1608002","1608002")</f>
        <v>1608002</v>
      </c>
      <c r="D4134" t="s">
        <v>46</v>
      </c>
    </row>
    <row r="4135" spans="1:4" outlineLevel="1" x14ac:dyDescent="0.25">
      <c r="A4135" t="s">
        <v>524</v>
      </c>
      <c r="B4135" t="s">
        <v>75</v>
      </c>
      <c r="C4135" s="1" t="str">
        <f>HYPERLINK("http://продеталь.рф/search.html?article=185337152","185337152")</f>
        <v>185337152</v>
      </c>
      <c r="D4135" t="s">
        <v>4</v>
      </c>
    </row>
    <row r="4136" spans="1:4" x14ac:dyDescent="0.25">
      <c r="A4136" t="s">
        <v>525</v>
      </c>
      <c r="B4136" s="2" t="s">
        <v>525</v>
      </c>
      <c r="C4136" s="2"/>
      <c r="D4136" s="2"/>
    </row>
    <row r="4137" spans="1:4" outlineLevel="1" x14ac:dyDescent="0.25">
      <c r="A4137" t="s">
        <v>525</v>
      </c>
      <c r="B4137" t="s">
        <v>11</v>
      </c>
      <c r="C4137" s="1" t="str">
        <f>HYPERLINK("http://продеталь.рф/search.html?article=DT48000B0","DT48000B0")</f>
        <v>DT48000B0</v>
      </c>
      <c r="D4137" t="s">
        <v>9</v>
      </c>
    </row>
    <row r="4138" spans="1:4" outlineLevel="1" x14ac:dyDescent="0.25">
      <c r="A4138" t="s">
        <v>525</v>
      </c>
      <c r="B4138" t="s">
        <v>15</v>
      </c>
      <c r="C4138" s="1" t="str">
        <f>HYPERLINK("http://продеталь.рф/search.html?article=3240008","3240008")</f>
        <v>3240008</v>
      </c>
      <c r="D4138" t="s">
        <v>4</v>
      </c>
    </row>
    <row r="4139" spans="1:4" outlineLevel="1" x14ac:dyDescent="0.25">
      <c r="A4139" t="s">
        <v>525</v>
      </c>
      <c r="B4139" t="s">
        <v>15</v>
      </c>
      <c r="C4139" s="1" t="str">
        <f>HYPERLINK("http://продеталь.рф/search.html?article=3240007","3240007")</f>
        <v>3240007</v>
      </c>
      <c r="D4139" t="s">
        <v>4</v>
      </c>
    </row>
    <row r="4140" spans="1:4" outlineLevel="1" x14ac:dyDescent="0.25">
      <c r="A4140" t="s">
        <v>525</v>
      </c>
      <c r="B4140" t="s">
        <v>23</v>
      </c>
      <c r="C4140" s="1" t="str">
        <f>HYPERLINK("http://продеталь.рф/search.html?article=110364012","110364012")</f>
        <v>110364012</v>
      </c>
      <c r="D4140" t="s">
        <v>4</v>
      </c>
    </row>
    <row r="4141" spans="1:4" outlineLevel="1" x14ac:dyDescent="0.25">
      <c r="A4141" t="s">
        <v>525</v>
      </c>
      <c r="B4141" t="s">
        <v>23</v>
      </c>
      <c r="C4141" s="1" t="str">
        <f>HYPERLINK("http://продеталь.рф/search.html?article=110363012","110363012")</f>
        <v>110363012</v>
      </c>
      <c r="D4141" t="s">
        <v>4</v>
      </c>
    </row>
    <row r="4142" spans="1:4" outlineLevel="1" x14ac:dyDescent="0.25">
      <c r="A4142" t="s">
        <v>525</v>
      </c>
      <c r="B4142" t="s">
        <v>1</v>
      </c>
      <c r="C4142" s="1" t="str">
        <f>HYPERLINK("http://продеталь.рф/search.html?article=99B80","99B80")</f>
        <v>99B80</v>
      </c>
      <c r="D4142" t="s">
        <v>36</v>
      </c>
    </row>
    <row r="4143" spans="1:4" outlineLevel="1" x14ac:dyDescent="0.25">
      <c r="A4143" t="s">
        <v>525</v>
      </c>
      <c r="B4143" t="s">
        <v>24</v>
      </c>
      <c r="C4143" s="1" t="str">
        <f>HYPERLINK("http://продеталь.рф/search.html?article=DS10121AR","DS10121AR")</f>
        <v>DS10121AR</v>
      </c>
      <c r="D4143" t="s">
        <v>2</v>
      </c>
    </row>
    <row r="4144" spans="1:4" outlineLevel="1" x14ac:dyDescent="0.25">
      <c r="A4144" t="s">
        <v>525</v>
      </c>
      <c r="B4144" t="s">
        <v>103</v>
      </c>
      <c r="C4144" s="1" t="str">
        <f>HYPERLINK("http://продеталь.рф/search.html?article=DS99088CALN","DS99088CALN")</f>
        <v>DS99088CALN</v>
      </c>
      <c r="D4144" t="s">
        <v>2</v>
      </c>
    </row>
    <row r="4145" spans="1:4" outlineLevel="1" x14ac:dyDescent="0.25">
      <c r="A4145" t="s">
        <v>525</v>
      </c>
      <c r="B4145" t="s">
        <v>103</v>
      </c>
      <c r="C4145" s="1" t="str">
        <f>HYPERLINK("http://продеталь.рф/search.html?article=DS99088CARN","DS99088CARN")</f>
        <v>DS99088CARN</v>
      </c>
      <c r="D4145" t="s">
        <v>2</v>
      </c>
    </row>
    <row r="4146" spans="1:4" outlineLevel="1" x14ac:dyDescent="0.25">
      <c r="A4146" t="s">
        <v>525</v>
      </c>
      <c r="B4146" t="s">
        <v>51</v>
      </c>
      <c r="C4146" s="1" t="str">
        <f>HYPERLINK("http://продеталь.рф/search.html?article=DS30059AW","DS30059AW")</f>
        <v>DS30059AW</v>
      </c>
      <c r="D4146" t="s">
        <v>2</v>
      </c>
    </row>
    <row r="4147" spans="1:4" outlineLevel="1" x14ac:dyDescent="0.25">
      <c r="A4147" t="s">
        <v>525</v>
      </c>
      <c r="B4147" t="s">
        <v>27</v>
      </c>
      <c r="C4147" s="1" t="str">
        <f>HYPERLINK("http://продеталь.рф/search.html?article=DS30059AL","DS30059AL")</f>
        <v>DS30059AL</v>
      </c>
      <c r="D4147" t="s">
        <v>2</v>
      </c>
    </row>
    <row r="4148" spans="1:4" outlineLevel="1" x14ac:dyDescent="0.25">
      <c r="A4148" t="s">
        <v>525</v>
      </c>
      <c r="B4148" t="s">
        <v>27</v>
      </c>
      <c r="C4148" s="1" t="str">
        <f>HYPERLINK("http://продеталь.рф/search.html?article=DS30059AUL","DS30059AUL")</f>
        <v>DS30059AUL</v>
      </c>
      <c r="D4148" t="s">
        <v>2</v>
      </c>
    </row>
    <row r="4149" spans="1:4" outlineLevel="1" x14ac:dyDescent="0.25">
      <c r="A4149" t="s">
        <v>525</v>
      </c>
      <c r="B4149" t="s">
        <v>27</v>
      </c>
      <c r="C4149" s="1" t="str">
        <f>HYPERLINK("http://продеталь.рф/search.html?article=DS30059AUR","DS30059AUR")</f>
        <v>DS30059AUR</v>
      </c>
      <c r="D4149" t="s">
        <v>2</v>
      </c>
    </row>
    <row r="4150" spans="1:4" outlineLevel="1" x14ac:dyDescent="0.25">
      <c r="A4150" t="s">
        <v>525</v>
      </c>
      <c r="B4150" t="s">
        <v>3</v>
      </c>
      <c r="C4150" s="1" t="str">
        <f>HYPERLINK("http://продеталь.рф/search.html?article=20A308052B","20A308052B")</f>
        <v>20A308052B</v>
      </c>
      <c r="D4150" t="s">
        <v>4</v>
      </c>
    </row>
    <row r="4151" spans="1:4" outlineLevel="1" x14ac:dyDescent="0.25">
      <c r="A4151" t="s">
        <v>525</v>
      </c>
      <c r="B4151" t="s">
        <v>3</v>
      </c>
      <c r="C4151" s="1" t="str">
        <f>HYPERLINK("http://продеталь.рф/search.html?article=2011926052","2011926052")</f>
        <v>2011926052</v>
      </c>
      <c r="D4151" t="s">
        <v>4</v>
      </c>
    </row>
    <row r="4152" spans="1:4" outlineLevel="1" x14ac:dyDescent="0.25">
      <c r="A4152" t="s">
        <v>525</v>
      </c>
      <c r="B4152" t="s">
        <v>3</v>
      </c>
      <c r="C4152" s="1" t="str">
        <f>HYPERLINK("http://продеталь.рф/search.html?article=2011925052","2011925052")</f>
        <v>2011925052</v>
      </c>
      <c r="D4152" t="s">
        <v>4</v>
      </c>
    </row>
    <row r="4153" spans="1:4" outlineLevel="1" x14ac:dyDescent="0.25">
      <c r="A4153" t="s">
        <v>525</v>
      </c>
      <c r="B4153" t="s">
        <v>5</v>
      </c>
      <c r="C4153" s="1" t="str">
        <f>HYPERLINK("http://продеталь.рф/search.html?article=PDS11121AL","PDS11121AL")</f>
        <v>PDS11121AL</v>
      </c>
      <c r="D4153" t="s">
        <v>6</v>
      </c>
    </row>
    <row r="4154" spans="1:4" outlineLevel="1" x14ac:dyDescent="0.25">
      <c r="A4154" t="s">
        <v>525</v>
      </c>
      <c r="B4154" t="s">
        <v>5</v>
      </c>
      <c r="C4154" s="1" t="str">
        <f>HYPERLINK("http://продеталь.рф/search.html?article=PDS11121AR","PDS11121AR")</f>
        <v>PDS11121AR</v>
      </c>
      <c r="D4154" t="s">
        <v>6</v>
      </c>
    </row>
    <row r="4155" spans="1:4" outlineLevel="1" x14ac:dyDescent="0.25">
      <c r="A4155" t="s">
        <v>525</v>
      </c>
      <c r="B4155" t="s">
        <v>12</v>
      </c>
      <c r="C4155" s="1" t="str">
        <f>HYPERLINK("http://продеталь.рф/search.html?article=DS07242GAL","DS07242GAL")</f>
        <v>DS07242GAL</v>
      </c>
      <c r="D4155" t="s">
        <v>2</v>
      </c>
    </row>
    <row r="4156" spans="1:4" outlineLevel="1" x14ac:dyDescent="0.25">
      <c r="A4156" t="s">
        <v>525</v>
      </c>
      <c r="B4156" t="s">
        <v>12</v>
      </c>
      <c r="C4156" s="1" t="str">
        <f>HYPERLINK("http://продеталь.рф/search.html?article=DS07242GAR","DS07242GAR")</f>
        <v>DS07242GAR</v>
      </c>
      <c r="D4156" t="s">
        <v>2</v>
      </c>
    </row>
    <row r="4157" spans="1:4" outlineLevel="1" x14ac:dyDescent="0.25">
      <c r="A4157" t="s">
        <v>525</v>
      </c>
      <c r="B4157" t="s">
        <v>12</v>
      </c>
      <c r="C4157" s="1" t="str">
        <f>HYPERLINK("http://продеталь.рф/search.html?article=DS07289GALN","DS07289GALN")</f>
        <v>DS07289GALN</v>
      </c>
      <c r="D4157" t="s">
        <v>2</v>
      </c>
    </row>
    <row r="4158" spans="1:4" outlineLevel="1" x14ac:dyDescent="0.25">
      <c r="A4158" t="s">
        <v>525</v>
      </c>
      <c r="B4158" t="s">
        <v>12</v>
      </c>
      <c r="C4158" s="1" t="str">
        <f>HYPERLINK("http://продеталь.рф/search.html?article=DS07289GARN","DS07289GARN")</f>
        <v>DS07289GARN</v>
      </c>
      <c r="D4158" t="s">
        <v>2</v>
      </c>
    </row>
    <row r="4159" spans="1:4" outlineLevel="1" x14ac:dyDescent="0.25">
      <c r="A4159" t="s">
        <v>525</v>
      </c>
      <c r="B4159" t="s">
        <v>16</v>
      </c>
      <c r="C4159" s="1" t="str">
        <f>HYPERLINK("http://продеталь.рф/search.html?article=180404012","180404012")</f>
        <v>180404012</v>
      </c>
      <c r="D4159" t="s">
        <v>4</v>
      </c>
    </row>
    <row r="4160" spans="1:4" outlineLevel="1" x14ac:dyDescent="0.25">
      <c r="A4160" t="s">
        <v>525</v>
      </c>
      <c r="B4160" t="s">
        <v>16</v>
      </c>
      <c r="C4160" s="1" t="str">
        <f>HYPERLINK("http://продеталь.рф/search.html?article=180403012","180403012")</f>
        <v>180403012</v>
      </c>
      <c r="D4160" t="s">
        <v>4</v>
      </c>
    </row>
    <row r="4161" spans="1:4" outlineLevel="1" x14ac:dyDescent="0.25">
      <c r="A4161" t="s">
        <v>525</v>
      </c>
      <c r="B4161" t="s">
        <v>75</v>
      </c>
      <c r="C4161" s="1" t="str">
        <f>HYPERLINK("http://продеталь.рф/search.html?article=180529012","180529012")</f>
        <v>180529012</v>
      </c>
      <c r="D4161" t="s">
        <v>4</v>
      </c>
    </row>
    <row r="4162" spans="1:4" x14ac:dyDescent="0.25">
      <c r="A4162" t="s">
        <v>526</v>
      </c>
      <c r="B4162" s="2" t="s">
        <v>526</v>
      </c>
      <c r="C4162" s="2"/>
      <c r="D4162" s="2"/>
    </row>
    <row r="4163" spans="1:4" outlineLevel="1" x14ac:dyDescent="0.25">
      <c r="A4163" t="s">
        <v>526</v>
      </c>
      <c r="B4163" t="s">
        <v>12</v>
      </c>
      <c r="C4163" s="1" t="str">
        <f>HYPERLINK("http://продеталь.рф/search.html?article=DS07323GA","DS07323GA")</f>
        <v>DS07323GA</v>
      </c>
      <c r="D4163" t="s">
        <v>2</v>
      </c>
    </row>
    <row r="4164" spans="1:4" x14ac:dyDescent="0.25">
      <c r="A4164" t="s">
        <v>527</v>
      </c>
      <c r="B4164" s="2" t="s">
        <v>527</v>
      </c>
      <c r="C4164" s="2"/>
      <c r="D4164" s="2"/>
    </row>
    <row r="4165" spans="1:4" outlineLevel="1" x14ac:dyDescent="0.25">
      <c r="A4165" t="s">
        <v>527</v>
      </c>
      <c r="B4165" t="s">
        <v>79</v>
      </c>
      <c r="C4165" s="1" t="str">
        <f>HYPERLINK("http://продеталь.рф/search.html?article=682NSA017","682NSA017")</f>
        <v>682NSA017</v>
      </c>
      <c r="D4165" t="s">
        <v>4</v>
      </c>
    </row>
    <row r="4166" spans="1:4" outlineLevel="1" x14ac:dyDescent="0.25">
      <c r="A4166" t="s">
        <v>527</v>
      </c>
      <c r="B4166" t="s">
        <v>1</v>
      </c>
      <c r="C4166" s="1" t="str">
        <f>HYPERLINK("http://продеталь.рф/search.html?article=DTG50150","DTG50150")</f>
        <v>DTG50150</v>
      </c>
      <c r="D4166" t="s">
        <v>9</v>
      </c>
    </row>
    <row r="4167" spans="1:4" outlineLevel="1" x14ac:dyDescent="0.25">
      <c r="A4167" t="s">
        <v>527</v>
      </c>
      <c r="B4167" t="s">
        <v>5</v>
      </c>
      <c r="C4167" s="1" t="str">
        <f>HYPERLINK("http://продеталь.рф/search.html?article=DTG5016LA1","DTG5016LA1")</f>
        <v>DTG5016LA1</v>
      </c>
      <c r="D4167" t="s">
        <v>9</v>
      </c>
    </row>
    <row r="4168" spans="1:4" outlineLevel="1" x14ac:dyDescent="0.25">
      <c r="A4168" t="s">
        <v>527</v>
      </c>
      <c r="B4168" t="s">
        <v>19</v>
      </c>
      <c r="C4168" s="1" t="str">
        <f>HYPERLINK("http://продеталь.рф/search.html?article=195462001A","195462001A")</f>
        <v>195462001A</v>
      </c>
      <c r="D4168" t="s">
        <v>4</v>
      </c>
    </row>
    <row r="4169" spans="1:4" outlineLevel="1" x14ac:dyDescent="0.25">
      <c r="A4169" t="s">
        <v>527</v>
      </c>
      <c r="B4169" t="s">
        <v>19</v>
      </c>
      <c r="C4169" s="1" t="str">
        <f>HYPERLINK("http://продеталь.рф/search.html?article=195461001A","195461001A")</f>
        <v>195461001A</v>
      </c>
      <c r="D4169" t="s">
        <v>4</v>
      </c>
    </row>
    <row r="4170" spans="1:4" outlineLevel="1" x14ac:dyDescent="0.25">
      <c r="A4170" t="s">
        <v>527</v>
      </c>
      <c r="B4170" t="s">
        <v>12</v>
      </c>
      <c r="C4170" s="1" t="str">
        <f>HYPERLINK("http://продеталь.рф/search.html?article=DS07247GAZ","DS07247GAZ")</f>
        <v>DS07247GAZ</v>
      </c>
      <c r="D4170" t="s">
        <v>2</v>
      </c>
    </row>
    <row r="4171" spans="1:4" x14ac:dyDescent="0.25">
      <c r="A4171" t="s">
        <v>528</v>
      </c>
      <c r="B4171" s="2" t="s">
        <v>528</v>
      </c>
      <c r="C4171" s="2"/>
      <c r="D4171" s="2"/>
    </row>
    <row r="4172" spans="1:4" outlineLevel="1" x14ac:dyDescent="0.25">
      <c r="A4172" t="s">
        <v>528</v>
      </c>
      <c r="B4172" t="s">
        <v>12</v>
      </c>
      <c r="C4172" s="1" t="str">
        <f>HYPERLINK("http://продеталь.рф/search.html?article=DS07296GA","DS07296GA")</f>
        <v>DS07296GA</v>
      </c>
      <c r="D4172" t="s">
        <v>2</v>
      </c>
    </row>
    <row r="4173" spans="1:4" x14ac:dyDescent="0.25">
      <c r="A4173" t="s">
        <v>529</v>
      </c>
      <c r="B4173" s="2" t="s">
        <v>529</v>
      </c>
      <c r="C4173" s="2"/>
      <c r="D4173" s="2"/>
    </row>
    <row r="4174" spans="1:4" outlineLevel="1" x14ac:dyDescent="0.25">
      <c r="A4174" t="s">
        <v>529</v>
      </c>
      <c r="B4174" t="s">
        <v>11</v>
      </c>
      <c r="C4174" s="1" t="str">
        <f>HYPERLINK("http://продеталь.рф/search.html?article=DT50100000000","DT50100000000")</f>
        <v>DT50100000000</v>
      </c>
      <c r="D4174" t="s">
        <v>9</v>
      </c>
    </row>
    <row r="4175" spans="1:4" outlineLevel="1" x14ac:dyDescent="0.25">
      <c r="A4175" t="s">
        <v>529</v>
      </c>
      <c r="B4175" t="s">
        <v>15</v>
      </c>
      <c r="C4175" s="1" t="str">
        <f>HYPERLINK("http://продеталь.рф/search.html?article=VDSM1013ER","VDSM1013ER")</f>
        <v>VDSM1013ER</v>
      </c>
      <c r="D4175" t="s">
        <v>6</v>
      </c>
    </row>
    <row r="4176" spans="1:4" outlineLevel="1" x14ac:dyDescent="0.25">
      <c r="A4176" t="s">
        <v>529</v>
      </c>
      <c r="B4176" t="s">
        <v>24</v>
      </c>
      <c r="C4176" s="1" t="str">
        <f>HYPERLINK("http://продеталь.рф/search.html?article=DT50101600L00","DT50101600L00")</f>
        <v>DT50101600L00</v>
      </c>
      <c r="D4176" t="s">
        <v>9</v>
      </c>
    </row>
    <row r="4177" spans="1:4" outlineLevel="1" x14ac:dyDescent="0.25">
      <c r="A4177" t="s">
        <v>529</v>
      </c>
      <c r="B4177" t="s">
        <v>3</v>
      </c>
      <c r="C4177" s="1" t="str">
        <f>HYPERLINK("http://продеталь.рф/search.html?article=201040052","201040052")</f>
        <v>201040052</v>
      </c>
      <c r="D4177" t="s">
        <v>4</v>
      </c>
    </row>
    <row r="4178" spans="1:4" outlineLevel="1" x14ac:dyDescent="0.25">
      <c r="A4178" t="s">
        <v>529</v>
      </c>
      <c r="B4178" t="s">
        <v>19</v>
      </c>
      <c r="C4178" s="1" t="str">
        <f>HYPERLINK("http://продеталь.рф/search.html?article=190561012","190561012")</f>
        <v>190561012</v>
      </c>
      <c r="D4178" t="s">
        <v>4</v>
      </c>
    </row>
    <row r="4179" spans="1:4" x14ac:dyDescent="0.25">
      <c r="A4179" t="s">
        <v>530</v>
      </c>
      <c r="B4179" s="2" t="s">
        <v>530</v>
      </c>
      <c r="C4179" s="2"/>
      <c r="D4179" s="2"/>
    </row>
    <row r="4180" spans="1:4" outlineLevel="1" x14ac:dyDescent="0.25">
      <c r="A4180" t="s">
        <v>530</v>
      </c>
      <c r="B4180" t="s">
        <v>15</v>
      </c>
      <c r="C4180" s="1" t="str">
        <f>HYPERLINK("http://продеталь.рф/search.html?article=VDSM1016EL","VDSM1016EL")</f>
        <v>VDSM1016EL</v>
      </c>
      <c r="D4180" t="s">
        <v>6</v>
      </c>
    </row>
    <row r="4181" spans="1:4" outlineLevel="1" x14ac:dyDescent="0.25">
      <c r="A4181" t="s">
        <v>530</v>
      </c>
      <c r="B4181" t="s">
        <v>15</v>
      </c>
      <c r="C4181" s="1" t="str">
        <f>HYPERLINK("http://продеталь.рф/search.html?article=VDSM1016ER","VDSM1016ER")</f>
        <v>VDSM1016ER</v>
      </c>
      <c r="D4181" t="s">
        <v>6</v>
      </c>
    </row>
    <row r="4182" spans="1:4" outlineLevel="1" x14ac:dyDescent="0.25">
      <c r="A4182" t="s">
        <v>530</v>
      </c>
      <c r="B4182" t="s">
        <v>23</v>
      </c>
      <c r="C4182" s="1" t="str">
        <f>HYPERLINK("http://продеталь.рф/search.html?article=116120001A","116120001A")</f>
        <v>116120001A</v>
      </c>
      <c r="D4182" t="s">
        <v>4</v>
      </c>
    </row>
    <row r="4183" spans="1:4" outlineLevel="1" x14ac:dyDescent="0.25">
      <c r="A4183" t="s">
        <v>530</v>
      </c>
      <c r="B4183" t="s">
        <v>1</v>
      </c>
      <c r="C4183" s="1" t="str">
        <f>HYPERLINK("http://продеталь.рф/search.html?article=PDS20097A","PDS20097A")</f>
        <v>PDS20097A</v>
      </c>
      <c r="D4183" t="s">
        <v>6</v>
      </c>
    </row>
    <row r="4184" spans="1:4" outlineLevel="1" x14ac:dyDescent="0.25">
      <c r="A4184" t="s">
        <v>530</v>
      </c>
      <c r="B4184" t="s">
        <v>3</v>
      </c>
      <c r="C4184" s="1" t="str">
        <f>HYPERLINK("http://продеталь.рф/search.html?article=20659200","20659200")</f>
        <v>20659200</v>
      </c>
      <c r="D4184" t="s">
        <v>4</v>
      </c>
    </row>
    <row r="4185" spans="1:4" x14ac:dyDescent="0.25">
      <c r="A4185" t="s">
        <v>531</v>
      </c>
      <c r="B4185" s="2" t="s">
        <v>531</v>
      </c>
      <c r="C4185" s="2"/>
      <c r="D4185" s="2"/>
    </row>
    <row r="4186" spans="1:4" outlineLevel="1" x14ac:dyDescent="0.25">
      <c r="A4186" t="s">
        <v>531</v>
      </c>
      <c r="B4186" t="s">
        <v>3</v>
      </c>
      <c r="C4186" s="1" t="str">
        <f>HYPERLINK("http://продеталь.рф/search.html?article=205442052","205442052")</f>
        <v>205442052</v>
      </c>
      <c r="D4186" t="s">
        <v>4</v>
      </c>
    </row>
    <row r="4187" spans="1:4" outlineLevel="1" x14ac:dyDescent="0.25">
      <c r="A4187" t="s">
        <v>531</v>
      </c>
      <c r="B4187" t="s">
        <v>3</v>
      </c>
      <c r="C4187" s="1" t="str">
        <f>HYPERLINK("http://продеталь.рф/search.html?article=205441052","205441052")</f>
        <v>205441052</v>
      </c>
      <c r="D4187" t="s">
        <v>4</v>
      </c>
    </row>
    <row r="4188" spans="1:4" outlineLevel="1" x14ac:dyDescent="0.25">
      <c r="A4188" t="s">
        <v>531</v>
      </c>
      <c r="B4188" t="s">
        <v>12</v>
      </c>
      <c r="C4188" s="1" t="str">
        <f>HYPERLINK("http://продеталь.рф/search.html?article=DS07201GA","DS07201GA")</f>
        <v>DS07201GA</v>
      </c>
      <c r="D4188" t="s">
        <v>99</v>
      </c>
    </row>
    <row r="4189" spans="1:4" outlineLevel="1" x14ac:dyDescent="0.25">
      <c r="A4189" t="s">
        <v>531</v>
      </c>
      <c r="B4189" t="s">
        <v>16</v>
      </c>
      <c r="C4189" s="1" t="str">
        <f>HYPERLINK("http://продеталь.рф/search.html?article=185278052","185278052")</f>
        <v>185278052</v>
      </c>
      <c r="D4189" t="s">
        <v>4</v>
      </c>
    </row>
    <row r="4190" spans="1:4" x14ac:dyDescent="0.25">
      <c r="A4190" t="s">
        <v>532</v>
      </c>
      <c r="B4190" s="2" t="s">
        <v>532</v>
      </c>
      <c r="C4190" s="2"/>
      <c r="D4190" s="2"/>
    </row>
    <row r="4191" spans="1:4" outlineLevel="1" x14ac:dyDescent="0.25">
      <c r="A4191" t="s">
        <v>532</v>
      </c>
      <c r="B4191" t="s">
        <v>15</v>
      </c>
      <c r="C4191" s="1" t="str">
        <f>HYPERLINK("http://продеталь.рф/search.html?article=3240024","3240024")</f>
        <v>3240024</v>
      </c>
      <c r="D4191" t="s">
        <v>4</v>
      </c>
    </row>
    <row r="4192" spans="1:4" outlineLevel="1" x14ac:dyDescent="0.25">
      <c r="A4192" t="s">
        <v>532</v>
      </c>
      <c r="B4192" t="s">
        <v>15</v>
      </c>
      <c r="C4192" s="1" t="str">
        <f>HYPERLINK("http://продеталь.рф/search.html?article=3240023","3240023")</f>
        <v>3240023</v>
      </c>
      <c r="D4192" t="s">
        <v>4</v>
      </c>
    </row>
    <row r="4193" spans="1:4" outlineLevel="1" x14ac:dyDescent="0.25">
      <c r="A4193" t="s">
        <v>532</v>
      </c>
      <c r="B4193" t="s">
        <v>15</v>
      </c>
      <c r="C4193" s="1" t="str">
        <f>HYPERLINK("http://продеталь.рф/search.html?article=3240014","3240014")</f>
        <v>3240014</v>
      </c>
      <c r="D4193" t="s">
        <v>4</v>
      </c>
    </row>
    <row r="4194" spans="1:4" outlineLevel="1" x14ac:dyDescent="0.25">
      <c r="A4194" t="s">
        <v>532</v>
      </c>
      <c r="B4194" t="s">
        <v>79</v>
      </c>
      <c r="C4194" s="1" t="str">
        <f>HYPERLINK("http://продеталь.рф/search.html?article=DT360040","DT360040")</f>
        <v>DT360040</v>
      </c>
      <c r="D4194" t="s">
        <v>9</v>
      </c>
    </row>
    <row r="4195" spans="1:4" outlineLevel="1" x14ac:dyDescent="0.25">
      <c r="A4195" t="s">
        <v>532</v>
      </c>
      <c r="B4195" t="s">
        <v>23</v>
      </c>
      <c r="C4195" s="1" t="str">
        <f>HYPERLINK("http://продеталь.рф/search.html?article=111902017","111902017")</f>
        <v>111902017</v>
      </c>
      <c r="D4195" t="s">
        <v>4</v>
      </c>
    </row>
    <row r="4196" spans="1:4" outlineLevel="1" x14ac:dyDescent="0.25">
      <c r="A4196" t="s">
        <v>532</v>
      </c>
      <c r="B4196" t="s">
        <v>1</v>
      </c>
      <c r="C4196" s="1" t="str">
        <f>HYPERLINK("http://продеталь.рф/search.html?article=IN20001500000","IN20001500000")</f>
        <v>IN20001500000</v>
      </c>
      <c r="D4196" t="s">
        <v>9</v>
      </c>
    </row>
    <row r="4197" spans="1:4" outlineLevel="1" x14ac:dyDescent="0.25">
      <c r="A4197" t="s">
        <v>532</v>
      </c>
      <c r="B4197" t="s">
        <v>24</v>
      </c>
      <c r="C4197" s="1" t="str">
        <f>HYPERLINK("http://продеталь.рф/search.html?article=DT36001600R00","DT36001600R00")</f>
        <v>DT36001600R00</v>
      </c>
      <c r="D4197" t="s">
        <v>9</v>
      </c>
    </row>
    <row r="4198" spans="1:4" outlineLevel="1" x14ac:dyDescent="0.25">
      <c r="A4198" t="s">
        <v>532</v>
      </c>
      <c r="B4198" t="s">
        <v>50</v>
      </c>
      <c r="C4198" s="1" t="str">
        <f>HYPERLINK("http://продеталь.рф/search.html?article=DT362062","DT362062")</f>
        <v>DT362062</v>
      </c>
      <c r="D4198" t="s">
        <v>9</v>
      </c>
    </row>
    <row r="4199" spans="1:4" outlineLevel="1" x14ac:dyDescent="0.25">
      <c r="A4199" t="s">
        <v>532</v>
      </c>
      <c r="B4199" t="s">
        <v>50</v>
      </c>
      <c r="C4199" s="1" t="str">
        <f>HYPERLINK("http://продеталь.рф/search.html?article=DT362061","DT362061")</f>
        <v>DT362061</v>
      </c>
      <c r="D4199" t="s">
        <v>9</v>
      </c>
    </row>
    <row r="4200" spans="1:4" outlineLevel="1" x14ac:dyDescent="0.25">
      <c r="A4200" t="s">
        <v>532</v>
      </c>
      <c r="B4200" t="s">
        <v>3</v>
      </c>
      <c r="C4200" s="1" t="str">
        <f>HYPERLINK("http://продеталь.рф/search.html?article=205046082","205046082")</f>
        <v>205046082</v>
      </c>
      <c r="D4200" t="s">
        <v>4</v>
      </c>
    </row>
    <row r="4201" spans="1:4" outlineLevel="1" x14ac:dyDescent="0.25">
      <c r="A4201" t="s">
        <v>532</v>
      </c>
      <c r="B4201" t="s">
        <v>3</v>
      </c>
      <c r="C4201" s="1" t="str">
        <f>HYPERLINK("http://продеталь.рф/search.html?article=205045082","205045082")</f>
        <v>205045082</v>
      </c>
      <c r="D4201" t="s">
        <v>4</v>
      </c>
    </row>
    <row r="4202" spans="1:4" outlineLevel="1" x14ac:dyDescent="0.25">
      <c r="A4202" t="s">
        <v>532</v>
      </c>
      <c r="B4202" t="s">
        <v>3</v>
      </c>
      <c r="C4202" s="1" t="str">
        <f>HYPERLINK("http://продеталь.рф/search.html?article=205046182","205046182")</f>
        <v>205046182</v>
      </c>
      <c r="D4202" t="s">
        <v>4</v>
      </c>
    </row>
    <row r="4203" spans="1:4" outlineLevel="1" x14ac:dyDescent="0.25">
      <c r="A4203" t="s">
        <v>532</v>
      </c>
      <c r="B4203" t="s">
        <v>3</v>
      </c>
      <c r="C4203" s="1" t="str">
        <f>HYPERLINK("http://продеталь.рф/search.html?article=205045182","205045182")</f>
        <v>205045182</v>
      </c>
      <c r="D4203" t="s">
        <v>4</v>
      </c>
    </row>
    <row r="4204" spans="1:4" outlineLevel="1" x14ac:dyDescent="0.25">
      <c r="A4204" t="s">
        <v>532</v>
      </c>
      <c r="B4204" t="s">
        <v>5</v>
      </c>
      <c r="C4204" s="1" t="str">
        <f>HYPERLINK("http://продеталь.рф/search.html?article=212617","212617")</f>
        <v>212617</v>
      </c>
      <c r="D4204" t="s">
        <v>21</v>
      </c>
    </row>
    <row r="4205" spans="1:4" outlineLevel="1" x14ac:dyDescent="0.25">
      <c r="A4205" t="s">
        <v>532</v>
      </c>
      <c r="B4205" t="s">
        <v>5</v>
      </c>
      <c r="C4205" s="1" t="str">
        <f>HYPERLINK("http://продеталь.рф/search.html?article=212618","212618")</f>
        <v>212618</v>
      </c>
      <c r="D4205" t="s">
        <v>21</v>
      </c>
    </row>
    <row r="4206" spans="1:4" outlineLevel="1" x14ac:dyDescent="0.25">
      <c r="A4206" t="s">
        <v>532</v>
      </c>
      <c r="B4206" t="s">
        <v>54</v>
      </c>
      <c r="C4206" s="1" t="str">
        <f>HYPERLINK("http://продеталь.рф/search.html?article=1666012","1666012")</f>
        <v>1666012</v>
      </c>
      <c r="D4206" t="s">
        <v>46</v>
      </c>
    </row>
    <row r="4207" spans="1:4" outlineLevel="1" x14ac:dyDescent="0.25">
      <c r="A4207" t="s">
        <v>532</v>
      </c>
      <c r="B4207" t="s">
        <v>28</v>
      </c>
      <c r="C4207" s="1" t="str">
        <f>HYPERLINK("http://продеталь.рф/search.html?article=RNSP023","RNSP023")</f>
        <v>RNSP023</v>
      </c>
      <c r="D4207" t="s">
        <v>6</v>
      </c>
    </row>
    <row r="4208" spans="1:4" outlineLevel="1" x14ac:dyDescent="0.25">
      <c r="A4208" t="s">
        <v>532</v>
      </c>
      <c r="B4208" t="s">
        <v>13</v>
      </c>
      <c r="C4208" s="1" t="str">
        <f>HYPERLINK("http://продеталь.рф/search.html?article=DS44103A","DS44103A")</f>
        <v>DS44103A</v>
      </c>
      <c r="D4208" t="s">
        <v>2</v>
      </c>
    </row>
    <row r="4209" spans="1:4" x14ac:dyDescent="0.25">
      <c r="A4209" t="s">
        <v>533</v>
      </c>
      <c r="B4209" s="2" t="s">
        <v>533</v>
      </c>
      <c r="C4209" s="2"/>
      <c r="D4209" s="2"/>
    </row>
    <row r="4210" spans="1:4" outlineLevel="1" x14ac:dyDescent="0.25">
      <c r="A4210" t="s">
        <v>533</v>
      </c>
      <c r="B4210" t="s">
        <v>11</v>
      </c>
      <c r="C4210" s="1" t="str">
        <f>HYPERLINK("http://продеталь.рф/search.html?article=NAI2023100","NAI2023100")</f>
        <v>NAI2023100</v>
      </c>
      <c r="D4210" t="s">
        <v>2</v>
      </c>
    </row>
    <row r="4211" spans="1:4" outlineLevel="1" x14ac:dyDescent="0.25">
      <c r="A4211" t="s">
        <v>533</v>
      </c>
      <c r="B4211" t="s">
        <v>79</v>
      </c>
      <c r="C4211" s="1" t="str">
        <f>HYPERLINK("http://продеталь.рф/search.html?article=DT37000400000","DT37000400000")</f>
        <v>DT37000400000</v>
      </c>
      <c r="D4211" t="s">
        <v>9</v>
      </c>
    </row>
    <row r="4212" spans="1:4" outlineLevel="1" x14ac:dyDescent="0.25">
      <c r="A4212" t="s">
        <v>533</v>
      </c>
      <c r="B4212" t="s">
        <v>35</v>
      </c>
      <c r="C4212" s="1" t="str">
        <f>HYPERLINK("http://продеталь.рф/search.html?article=2732345","2732345")</f>
        <v>2732345</v>
      </c>
      <c r="D4212" t="s">
        <v>81</v>
      </c>
    </row>
    <row r="4213" spans="1:4" outlineLevel="1" x14ac:dyDescent="0.25">
      <c r="A4213" t="s">
        <v>533</v>
      </c>
      <c r="B4213" t="s">
        <v>35</v>
      </c>
      <c r="C4213" s="1" t="str">
        <f>HYPERLINK("http://продеталь.рф/search.html?article=2732347","2732347")</f>
        <v>2732347</v>
      </c>
      <c r="D4213" t="s">
        <v>81</v>
      </c>
    </row>
    <row r="4214" spans="1:4" outlineLevel="1" x14ac:dyDescent="0.25">
      <c r="A4214" t="s">
        <v>533</v>
      </c>
      <c r="B4214" t="s">
        <v>35</v>
      </c>
      <c r="C4214" s="1" t="str">
        <f>HYPERLINK("http://продеталь.рф/search.html?article=2732348","2732348")</f>
        <v>2732348</v>
      </c>
      <c r="D4214" t="s">
        <v>81</v>
      </c>
    </row>
    <row r="4215" spans="1:4" outlineLevel="1" x14ac:dyDescent="0.25">
      <c r="A4215" t="s">
        <v>533</v>
      </c>
      <c r="B4215" t="s">
        <v>1</v>
      </c>
      <c r="C4215" s="1" t="str">
        <f>HYPERLINK("http://продеталь.рф/search.html?article=DT38015A0","DT38015A0")</f>
        <v>DT38015A0</v>
      </c>
      <c r="D4215" t="s">
        <v>9</v>
      </c>
    </row>
    <row r="4216" spans="1:4" outlineLevel="1" x14ac:dyDescent="0.25">
      <c r="A4216" t="s">
        <v>533</v>
      </c>
      <c r="B4216" t="s">
        <v>24</v>
      </c>
      <c r="C4216" s="1" t="str">
        <f>HYPERLINK("http://продеталь.рф/search.html?article=DS10087AR","DS10087AR")</f>
        <v>DS10087AR</v>
      </c>
      <c r="D4216" t="s">
        <v>2</v>
      </c>
    </row>
    <row r="4217" spans="1:4" outlineLevel="1" x14ac:dyDescent="0.25">
      <c r="A4217" t="s">
        <v>533</v>
      </c>
      <c r="B4217" t="s">
        <v>24</v>
      </c>
      <c r="C4217" s="1" t="str">
        <f>HYPERLINK("http://продеталь.рф/search.html?article=DS10110AR","DS10110AR")</f>
        <v>DS10110AR</v>
      </c>
      <c r="D4217" t="s">
        <v>2</v>
      </c>
    </row>
    <row r="4218" spans="1:4" outlineLevel="1" x14ac:dyDescent="0.25">
      <c r="A4218" t="s">
        <v>533</v>
      </c>
      <c r="B4218" t="s">
        <v>66</v>
      </c>
      <c r="C4218" s="1" t="str">
        <f>HYPERLINK("http://продеталь.рф/search.html?article=BK035","BK035")</f>
        <v>BK035</v>
      </c>
      <c r="D4218" t="s">
        <v>6</v>
      </c>
    </row>
    <row r="4219" spans="1:4" outlineLevel="1" x14ac:dyDescent="0.25">
      <c r="A4219" t="s">
        <v>533</v>
      </c>
      <c r="B4219" t="s">
        <v>3</v>
      </c>
      <c r="C4219" s="1" t="str">
        <f>HYPERLINK("http://продеталь.рф/search.html?article=203649052","203649052")</f>
        <v>203649052</v>
      </c>
      <c r="D4219" t="s">
        <v>4</v>
      </c>
    </row>
    <row r="4220" spans="1:4" outlineLevel="1" x14ac:dyDescent="0.25">
      <c r="A4220" t="s">
        <v>533</v>
      </c>
      <c r="B4220" t="s">
        <v>3</v>
      </c>
      <c r="C4220" s="1" t="str">
        <f>HYPERLINK("http://продеталь.рф/search.html?article=205982052","205982052")</f>
        <v>205982052</v>
      </c>
      <c r="D4220" t="s">
        <v>4</v>
      </c>
    </row>
    <row r="4221" spans="1:4" outlineLevel="1" x14ac:dyDescent="0.25">
      <c r="A4221" t="s">
        <v>533</v>
      </c>
      <c r="B4221" t="s">
        <v>3</v>
      </c>
      <c r="C4221" s="1" t="str">
        <f>HYPERLINK("http://продеталь.рф/search.html?article=205981052","205981052")</f>
        <v>205981052</v>
      </c>
      <c r="D4221" t="s">
        <v>4</v>
      </c>
    </row>
    <row r="4222" spans="1:4" outlineLevel="1" x14ac:dyDescent="0.25">
      <c r="A4222" t="s">
        <v>533</v>
      </c>
      <c r="B4222" t="s">
        <v>5</v>
      </c>
      <c r="C4222" s="1" t="str">
        <f>HYPERLINK("http://продеталь.рф/search.html?article=212605","212605")</f>
        <v>212605</v>
      </c>
      <c r="D4222" t="s">
        <v>21</v>
      </c>
    </row>
    <row r="4223" spans="1:4" outlineLevel="1" x14ac:dyDescent="0.25">
      <c r="A4223" t="s">
        <v>533</v>
      </c>
      <c r="B4223" t="s">
        <v>5</v>
      </c>
      <c r="C4223" s="1" t="str">
        <f>HYPERLINK("http://продеталь.рф/search.html?article=212606","212606")</f>
        <v>212606</v>
      </c>
      <c r="D4223" t="s">
        <v>21</v>
      </c>
    </row>
    <row r="4224" spans="1:4" outlineLevel="1" x14ac:dyDescent="0.25">
      <c r="A4224" t="s">
        <v>533</v>
      </c>
      <c r="B4224" t="s">
        <v>12</v>
      </c>
      <c r="C4224" s="1" t="str">
        <f>HYPERLINK("http://продеталь.рф/search.html?article=DS07171GAL","DS07171GAL")</f>
        <v>DS07171GAL</v>
      </c>
      <c r="D4224" t="s">
        <v>2</v>
      </c>
    </row>
    <row r="4225" spans="1:4" outlineLevel="1" x14ac:dyDescent="0.25">
      <c r="A4225" t="s">
        <v>533</v>
      </c>
      <c r="B4225" t="s">
        <v>276</v>
      </c>
      <c r="C4225" s="1" t="str">
        <f>HYPERLINK("http://продеталь.рф/search.html?article=SDS2005L","SDS2005L")</f>
        <v>SDS2005L</v>
      </c>
      <c r="D4225" t="s">
        <v>63</v>
      </c>
    </row>
    <row r="4226" spans="1:4" outlineLevel="1" x14ac:dyDescent="0.25">
      <c r="A4226" t="s">
        <v>533</v>
      </c>
      <c r="B4226" t="s">
        <v>496</v>
      </c>
      <c r="C4226" s="1" t="str">
        <f>HYPERLINK("http://продеталь.рф/search.html?article=SDS2005R","SDS2005R")</f>
        <v>SDS2005R</v>
      </c>
      <c r="D4226" t="s">
        <v>63</v>
      </c>
    </row>
    <row r="4227" spans="1:4" outlineLevel="1" x14ac:dyDescent="0.25">
      <c r="A4227" t="s">
        <v>533</v>
      </c>
      <c r="B4227" t="s">
        <v>16</v>
      </c>
      <c r="C4227" s="1" t="str">
        <f>HYPERLINK("http://продеталь.рф/search.html?article=183515052","183515052")</f>
        <v>183515052</v>
      </c>
      <c r="D4227" t="s">
        <v>4</v>
      </c>
    </row>
    <row r="4228" spans="1:4" outlineLevel="1" x14ac:dyDescent="0.25">
      <c r="A4228" t="s">
        <v>533</v>
      </c>
      <c r="B4228" t="s">
        <v>16</v>
      </c>
      <c r="C4228" s="1" t="str">
        <f>HYPERLINK("http://продеталь.рф/search.html?article=183516012B","183516012B")</f>
        <v>183516012B</v>
      </c>
      <c r="D4228" t="s">
        <v>4</v>
      </c>
    </row>
    <row r="4229" spans="1:4" outlineLevel="1" x14ac:dyDescent="0.25">
      <c r="A4229" t="s">
        <v>533</v>
      </c>
      <c r="B4229" t="s">
        <v>16</v>
      </c>
      <c r="C4229" s="1" t="str">
        <f>HYPERLINK("http://продеталь.рф/search.html?article=183515012B","183515012B")</f>
        <v>183515012B</v>
      </c>
      <c r="D4229" t="s">
        <v>4</v>
      </c>
    </row>
    <row r="4230" spans="1:4" outlineLevel="1" x14ac:dyDescent="0.25">
      <c r="A4230" t="s">
        <v>533</v>
      </c>
      <c r="B4230" t="s">
        <v>13</v>
      </c>
      <c r="C4230" s="1" t="str">
        <f>HYPERLINK("http://продеталь.рф/search.html?article=DS44173A","DS44173A")</f>
        <v>DS44173A</v>
      </c>
      <c r="D4230" t="s">
        <v>2</v>
      </c>
    </row>
    <row r="4231" spans="1:4" outlineLevel="1" x14ac:dyDescent="0.25">
      <c r="A4231" t="s">
        <v>533</v>
      </c>
      <c r="B4231" t="s">
        <v>13</v>
      </c>
      <c r="C4231" s="1" t="str">
        <f>HYPERLINK("http://продеталь.рф/search.html?article=DT380000R0000","DT380000R0000")</f>
        <v>DT380000R0000</v>
      </c>
      <c r="D4231" t="s">
        <v>9</v>
      </c>
    </row>
    <row r="4232" spans="1:4" x14ac:dyDescent="0.25">
      <c r="A4232" t="s">
        <v>534</v>
      </c>
      <c r="B4232" s="2" t="s">
        <v>534</v>
      </c>
      <c r="C4232" s="2"/>
      <c r="D4232" s="2"/>
    </row>
    <row r="4233" spans="1:4" outlineLevel="1" x14ac:dyDescent="0.25">
      <c r="A4233" t="s">
        <v>534</v>
      </c>
      <c r="B4233" t="s">
        <v>1</v>
      </c>
      <c r="C4233" s="1" t="str">
        <f>HYPERLINK("http://продеталь.рф/search.html?article=DT390150","DT390150")</f>
        <v>DT390150</v>
      </c>
      <c r="D4233" t="s">
        <v>9</v>
      </c>
    </row>
    <row r="4234" spans="1:4" outlineLevel="1" x14ac:dyDescent="0.25">
      <c r="A4234" t="s">
        <v>534</v>
      </c>
      <c r="B4234" t="s">
        <v>24</v>
      </c>
      <c r="C4234" s="1" t="str">
        <f>HYPERLINK("http://продеталь.рф/search.html?article=PDS10120AR","PDS10120AR")</f>
        <v>PDS10120AR</v>
      </c>
      <c r="D4234" t="s">
        <v>6</v>
      </c>
    </row>
    <row r="4235" spans="1:4" outlineLevel="1" x14ac:dyDescent="0.25">
      <c r="A4235" t="s">
        <v>534</v>
      </c>
      <c r="B4235" t="s">
        <v>3</v>
      </c>
      <c r="C4235" s="1" t="str">
        <f>HYPERLINK("http://продеталь.рф/search.html?article=200364052","200364052")</f>
        <v>200364052</v>
      </c>
      <c r="D4235" t="s">
        <v>4</v>
      </c>
    </row>
    <row r="4236" spans="1:4" outlineLevel="1" x14ac:dyDescent="0.25">
      <c r="A4236" t="s">
        <v>534</v>
      </c>
      <c r="B4236" t="s">
        <v>3</v>
      </c>
      <c r="C4236" s="1" t="str">
        <f>HYPERLINK("http://продеталь.рф/search.html?article=200363052","200363052")</f>
        <v>200363052</v>
      </c>
      <c r="D4236" t="s">
        <v>4</v>
      </c>
    </row>
    <row r="4237" spans="1:4" outlineLevel="1" x14ac:dyDescent="0.25">
      <c r="A4237" t="s">
        <v>534</v>
      </c>
      <c r="B4237" t="s">
        <v>5</v>
      </c>
      <c r="C4237" s="1" t="str">
        <f>HYPERLINK("http://продеталь.рф/search.html?article=212619","212619")</f>
        <v>212619</v>
      </c>
      <c r="D4237" t="s">
        <v>21</v>
      </c>
    </row>
    <row r="4238" spans="1:4" outlineLevel="1" x14ac:dyDescent="0.25">
      <c r="A4238" t="s">
        <v>534</v>
      </c>
      <c r="B4238" t="s">
        <v>5</v>
      </c>
      <c r="C4238" s="1" t="str">
        <f>HYPERLINK("http://продеталь.рф/search.html?article=212620","212620")</f>
        <v>212620</v>
      </c>
      <c r="D4238" t="s">
        <v>21</v>
      </c>
    </row>
    <row r="4239" spans="1:4" x14ac:dyDescent="0.25">
      <c r="A4239" t="s">
        <v>535</v>
      </c>
      <c r="B4239" s="2" t="s">
        <v>535</v>
      </c>
      <c r="C4239" s="2"/>
      <c r="D4239" s="2"/>
    </row>
    <row r="4240" spans="1:4" outlineLevel="1" x14ac:dyDescent="0.25">
      <c r="A4240" t="s">
        <v>535</v>
      </c>
      <c r="B4240" t="s">
        <v>11</v>
      </c>
      <c r="C4240" s="1" t="str">
        <f>HYPERLINK("http://продеталь.рф/search.html?article=DS04256BA","DS04256BA")</f>
        <v>DS04256BA</v>
      </c>
      <c r="D4240" t="s">
        <v>2</v>
      </c>
    </row>
    <row r="4241" spans="1:4" outlineLevel="1" x14ac:dyDescent="0.25">
      <c r="A4241" t="s">
        <v>535</v>
      </c>
      <c r="B4241" t="s">
        <v>15</v>
      </c>
      <c r="C4241" s="1" t="str">
        <f>HYPERLINK("http://продеталь.рф/search.html?article=VDSM1010ER","VDSM1010ER")</f>
        <v>VDSM1010ER</v>
      </c>
      <c r="D4241" t="s">
        <v>6</v>
      </c>
    </row>
    <row r="4242" spans="1:4" outlineLevel="1" x14ac:dyDescent="0.25">
      <c r="A4242" t="s">
        <v>535</v>
      </c>
      <c r="B4242" t="s">
        <v>3</v>
      </c>
      <c r="C4242" s="1" t="str">
        <f>HYPERLINK("http://продеталь.рф/search.html?article=201571052","201571052")</f>
        <v>201571052</v>
      </c>
      <c r="D4242" t="s">
        <v>4</v>
      </c>
    </row>
    <row r="4243" spans="1:4" outlineLevel="1" x14ac:dyDescent="0.25">
      <c r="A4243" t="s">
        <v>535</v>
      </c>
      <c r="B4243" t="s">
        <v>5</v>
      </c>
      <c r="C4243" s="1" t="str">
        <f>HYPERLINK("http://продеталь.рф/search.html?article=306NSF184","306NSF184")</f>
        <v>306NSF184</v>
      </c>
      <c r="D4243" t="s">
        <v>4</v>
      </c>
    </row>
    <row r="4244" spans="1:4" outlineLevel="1" x14ac:dyDescent="0.25">
      <c r="A4244" t="s">
        <v>535</v>
      </c>
      <c r="B4244" t="s">
        <v>5</v>
      </c>
      <c r="C4244" s="1" t="str">
        <f>HYPERLINK("http://продеталь.рф/search.html?article=306NSF183","306NSF183")</f>
        <v>306NSF183</v>
      </c>
      <c r="D4244" t="s">
        <v>4</v>
      </c>
    </row>
    <row r="4245" spans="1:4" x14ac:dyDescent="0.25">
      <c r="A4245" t="s">
        <v>536</v>
      </c>
      <c r="B4245" s="2" t="s">
        <v>536</v>
      </c>
      <c r="C4245" s="2"/>
      <c r="D4245" s="2"/>
    </row>
    <row r="4246" spans="1:4" outlineLevel="1" x14ac:dyDescent="0.25">
      <c r="A4246" t="s">
        <v>536</v>
      </c>
      <c r="B4246" t="s">
        <v>79</v>
      </c>
      <c r="C4246" s="1" t="str">
        <f>HYPERLINK("http://продеталь.рф/search.html?article=DTK30040","DTK30040")</f>
        <v>DTK30040</v>
      </c>
      <c r="D4246" t="s">
        <v>9</v>
      </c>
    </row>
    <row r="4247" spans="1:4" x14ac:dyDescent="0.25">
      <c r="A4247" t="s">
        <v>537</v>
      </c>
      <c r="B4247" s="2" t="s">
        <v>537</v>
      </c>
      <c r="C4247" s="2"/>
      <c r="D4247" s="2"/>
    </row>
    <row r="4248" spans="1:4" outlineLevel="1" x14ac:dyDescent="0.25">
      <c r="A4248" t="s">
        <v>537</v>
      </c>
      <c r="B4248" t="s">
        <v>3</v>
      </c>
      <c r="C4248" s="1" t="str">
        <f>HYPERLINK("http://продеталь.рф/search.html?article=201607052","201607052")</f>
        <v>201607052</v>
      </c>
      <c r="D4248" t="s">
        <v>4</v>
      </c>
    </row>
    <row r="4249" spans="1:4" outlineLevel="1" x14ac:dyDescent="0.25">
      <c r="A4249" t="s">
        <v>537</v>
      </c>
      <c r="B4249" t="s">
        <v>3</v>
      </c>
      <c r="C4249" s="1" t="str">
        <f>HYPERLINK("http://продеталь.рф/search.html?article=201606052","201606052")</f>
        <v>201606052</v>
      </c>
      <c r="D4249" t="s">
        <v>4</v>
      </c>
    </row>
    <row r="4250" spans="1:4" outlineLevel="1" x14ac:dyDescent="0.25">
      <c r="A4250" t="s">
        <v>537</v>
      </c>
      <c r="B4250" t="s">
        <v>16</v>
      </c>
      <c r="C4250" s="1" t="str">
        <f>HYPERLINK("http://продеталь.рф/search.html?article=181830052","181830052")</f>
        <v>181830052</v>
      </c>
      <c r="D4250" t="s">
        <v>4</v>
      </c>
    </row>
    <row r="4251" spans="1:4" outlineLevel="1" x14ac:dyDescent="0.25">
      <c r="A4251" t="s">
        <v>537</v>
      </c>
      <c r="B4251" t="s">
        <v>16</v>
      </c>
      <c r="C4251" s="1" t="str">
        <f>HYPERLINK("http://продеталь.рф/search.html?article=181829052","181829052")</f>
        <v>181829052</v>
      </c>
      <c r="D4251" t="s">
        <v>4</v>
      </c>
    </row>
    <row r="4252" spans="1:4" x14ac:dyDescent="0.25">
      <c r="A4252" t="s">
        <v>538</v>
      </c>
      <c r="B4252" s="2" t="s">
        <v>538</v>
      </c>
      <c r="C4252" s="2"/>
      <c r="D4252" s="2"/>
    </row>
    <row r="4253" spans="1:4" outlineLevel="1" x14ac:dyDescent="0.25">
      <c r="A4253" t="s">
        <v>538</v>
      </c>
      <c r="B4253" t="s">
        <v>11</v>
      </c>
      <c r="C4253" s="1" t="str">
        <f>HYPERLINK("http://продеталь.рф/search.html?article=DT05000000000","DT05000000000")</f>
        <v>DT05000000000</v>
      </c>
      <c r="D4253" t="s">
        <v>9</v>
      </c>
    </row>
    <row r="4254" spans="1:4" outlineLevel="1" x14ac:dyDescent="0.25">
      <c r="A4254" t="s">
        <v>538</v>
      </c>
      <c r="B4254" t="s">
        <v>45</v>
      </c>
      <c r="C4254" s="1" t="str">
        <f>HYPERLINK("http://продеталь.рф/search.html?article=1628582","1628582")</f>
        <v>1628582</v>
      </c>
      <c r="D4254" t="s">
        <v>46</v>
      </c>
    </row>
    <row r="4255" spans="1:4" outlineLevel="1" x14ac:dyDescent="0.25">
      <c r="A4255" t="s">
        <v>538</v>
      </c>
      <c r="B4255" t="s">
        <v>1</v>
      </c>
      <c r="C4255" s="1" t="str">
        <f>HYPERLINK("http://продеталь.рф/search.html?article=DT05001500000","DT05001500000")</f>
        <v>DT05001500000</v>
      </c>
      <c r="D4255" t="s">
        <v>9</v>
      </c>
    </row>
    <row r="4256" spans="1:4" outlineLevel="1" x14ac:dyDescent="0.25">
      <c r="A4256" t="s">
        <v>538</v>
      </c>
      <c r="B4256" t="s">
        <v>24</v>
      </c>
      <c r="C4256" s="1" t="str">
        <f>HYPERLINK("http://продеталь.рф/search.html?article=DT05001600R00","DT05001600R00")</f>
        <v>DT05001600R00</v>
      </c>
      <c r="D4256" t="s">
        <v>9</v>
      </c>
    </row>
    <row r="4257" spans="1:4" outlineLevel="1" x14ac:dyDescent="0.25">
      <c r="A4257" t="s">
        <v>538</v>
      </c>
      <c r="B4257" t="s">
        <v>24</v>
      </c>
      <c r="C4257" s="1" t="str">
        <f>HYPERLINK("http://продеталь.рф/search.html?article=DT05001600L00","DT05001600L00")</f>
        <v>DT05001600L00</v>
      </c>
      <c r="D4257" t="s">
        <v>9</v>
      </c>
    </row>
    <row r="4258" spans="1:4" outlineLevel="1" x14ac:dyDescent="0.25">
      <c r="A4258" t="s">
        <v>538</v>
      </c>
      <c r="B4258" t="s">
        <v>50</v>
      </c>
      <c r="C4258" s="1" t="str">
        <f>HYPERLINK("http://продеталь.рф/search.html?article=DT050110","DT050110")</f>
        <v>DT050110</v>
      </c>
      <c r="D4258" t="s">
        <v>9</v>
      </c>
    </row>
    <row r="4259" spans="1:4" outlineLevel="1" x14ac:dyDescent="0.25">
      <c r="A4259" t="s">
        <v>538</v>
      </c>
      <c r="B4259" t="s">
        <v>3</v>
      </c>
      <c r="C4259" s="1" t="str">
        <f>HYPERLINK("http://продеталь.рф/search.html?article=203748012B","203748012B")</f>
        <v>203748012B</v>
      </c>
      <c r="D4259" t="s">
        <v>4</v>
      </c>
    </row>
    <row r="4260" spans="1:4" outlineLevel="1" x14ac:dyDescent="0.25">
      <c r="A4260" t="s">
        <v>538</v>
      </c>
      <c r="B4260" t="s">
        <v>3</v>
      </c>
      <c r="C4260" s="1" t="str">
        <f>HYPERLINK("http://продеталь.рф/search.html?article=203747012B","203747012B")</f>
        <v>203747012B</v>
      </c>
      <c r="D4260" t="s">
        <v>4</v>
      </c>
    </row>
    <row r="4261" spans="1:4" outlineLevel="1" x14ac:dyDescent="0.25">
      <c r="A4261" t="s">
        <v>538</v>
      </c>
      <c r="B4261" t="s">
        <v>54</v>
      </c>
      <c r="C4261" s="1" t="str">
        <f>HYPERLINK("http://продеталь.рф/search.html?article=1628011","1628011")</f>
        <v>1628011</v>
      </c>
      <c r="D4261" t="s">
        <v>46</v>
      </c>
    </row>
    <row r="4262" spans="1:4" outlineLevel="1" x14ac:dyDescent="0.25">
      <c r="A4262" t="s">
        <v>538</v>
      </c>
      <c r="B4262" t="s">
        <v>54</v>
      </c>
      <c r="C4262" s="1" t="str">
        <f>HYPERLINK("http://продеталь.рф/search.html?article=1628012","1628012")</f>
        <v>1628012</v>
      </c>
      <c r="D4262" t="s">
        <v>46</v>
      </c>
    </row>
    <row r="4263" spans="1:4" outlineLevel="1" x14ac:dyDescent="0.25">
      <c r="A4263" t="s">
        <v>538</v>
      </c>
      <c r="B4263" t="s">
        <v>16</v>
      </c>
      <c r="C4263" s="1" t="str">
        <f>HYPERLINK("http://продеталь.рф/search.html?article=183177052","183177052")</f>
        <v>183177052</v>
      </c>
      <c r="D4263" t="s">
        <v>4</v>
      </c>
    </row>
    <row r="4264" spans="1:4" outlineLevel="1" x14ac:dyDescent="0.25">
      <c r="A4264" t="s">
        <v>538</v>
      </c>
      <c r="B4264" t="s">
        <v>16</v>
      </c>
      <c r="C4264" s="1" t="str">
        <f>HYPERLINK("http://продеталь.рф/search.html?article=183176052","183176052")</f>
        <v>183176052</v>
      </c>
      <c r="D4264" t="s">
        <v>4</v>
      </c>
    </row>
    <row r="4265" spans="1:4" outlineLevel="1" x14ac:dyDescent="0.25">
      <c r="A4265" t="s">
        <v>538</v>
      </c>
      <c r="B4265" t="s">
        <v>13</v>
      </c>
      <c r="C4265" s="1" t="str">
        <f>HYPERLINK("http://продеталь.рф/search.html?article=DT05000R0","DT05000R0")</f>
        <v>DT05000R0</v>
      </c>
      <c r="D4265" t="s">
        <v>9</v>
      </c>
    </row>
    <row r="4266" spans="1:4" x14ac:dyDescent="0.25">
      <c r="A4266" t="s">
        <v>539</v>
      </c>
      <c r="B4266" s="2" t="s">
        <v>539</v>
      </c>
      <c r="C4266" s="2"/>
      <c r="D4266" s="2"/>
    </row>
    <row r="4267" spans="1:4" outlineLevel="1" x14ac:dyDescent="0.25">
      <c r="A4267" t="s">
        <v>539</v>
      </c>
      <c r="B4267" t="s">
        <v>1</v>
      </c>
      <c r="C4267" s="1" t="str">
        <f>HYPERLINK("http://продеталь.рф/search.html?article=DS20099A","DS20099A")</f>
        <v>DS20099A</v>
      </c>
      <c r="D4267" t="s">
        <v>2</v>
      </c>
    </row>
    <row r="4268" spans="1:4" outlineLevel="1" x14ac:dyDescent="0.25">
      <c r="A4268" t="s">
        <v>539</v>
      </c>
      <c r="B4268" t="s">
        <v>24</v>
      </c>
      <c r="C4268" s="1" t="str">
        <f>HYPERLINK("http://продеталь.рф/search.html?article=DS10148AR","DS10148AR")</f>
        <v>DS10148AR</v>
      </c>
      <c r="D4268" t="s">
        <v>2</v>
      </c>
    </row>
    <row r="4269" spans="1:4" outlineLevel="1" x14ac:dyDescent="0.25">
      <c r="A4269" t="s">
        <v>539</v>
      </c>
      <c r="B4269" t="s">
        <v>13</v>
      </c>
      <c r="C4269" s="1" t="str">
        <f>HYPERLINK("http://продеталь.рф/search.html?article=DT313000R1000","DT313000R1000")</f>
        <v>DT313000R1000</v>
      </c>
      <c r="D4269" t="s">
        <v>9</v>
      </c>
    </row>
    <row r="4270" spans="1:4" x14ac:dyDescent="0.25">
      <c r="A4270" t="s">
        <v>540</v>
      </c>
      <c r="B4270" s="2" t="s">
        <v>540</v>
      </c>
      <c r="C4270" s="2"/>
      <c r="D4270" s="2"/>
    </row>
    <row r="4271" spans="1:4" outlineLevel="1" x14ac:dyDescent="0.25">
      <c r="A4271" t="s">
        <v>540</v>
      </c>
      <c r="B4271" t="s">
        <v>27</v>
      </c>
      <c r="C4271" s="1" t="str">
        <f>HYPERLINK("http://продеталь.рф/search.html?article=PDS03017A","PDS03017A")</f>
        <v>PDS03017A</v>
      </c>
      <c r="D4271" t="s">
        <v>6</v>
      </c>
    </row>
    <row r="4272" spans="1:4" x14ac:dyDescent="0.25">
      <c r="A4272" t="s">
        <v>541</v>
      </c>
      <c r="B4272" s="2" t="s">
        <v>541</v>
      </c>
      <c r="C4272" s="2"/>
      <c r="D4272" s="2"/>
    </row>
    <row r="4273" spans="1:4" outlineLevel="1" x14ac:dyDescent="0.25">
      <c r="A4273" t="s">
        <v>541</v>
      </c>
      <c r="B4273" t="s">
        <v>319</v>
      </c>
      <c r="C4273" s="1" t="str">
        <f>HYPERLINK("http://продеталь.рф/search.html?article=171145A06B","171145A06B")</f>
        <v>171145A06B</v>
      </c>
      <c r="D4273" t="s">
        <v>4</v>
      </c>
    </row>
    <row r="4274" spans="1:4" outlineLevel="1" x14ac:dyDescent="0.25">
      <c r="A4274" t="s">
        <v>541</v>
      </c>
      <c r="B4274" t="s">
        <v>3</v>
      </c>
      <c r="C4274" s="1" t="str">
        <f>HYPERLINK("http://продеталь.рф/search.html?article=201585016B","201585016B")</f>
        <v>201585016B</v>
      </c>
      <c r="D4274" t="s">
        <v>4</v>
      </c>
    </row>
    <row r="4275" spans="1:4" outlineLevel="1" x14ac:dyDescent="0.25">
      <c r="A4275" t="s">
        <v>541</v>
      </c>
      <c r="B4275" t="s">
        <v>3</v>
      </c>
      <c r="C4275" s="1" t="str">
        <f>HYPERLINK("http://продеталь.рф/search.html?article=201584016B","201584016B")</f>
        <v>201584016B</v>
      </c>
      <c r="D4275" t="s">
        <v>4</v>
      </c>
    </row>
    <row r="4276" spans="1:4" outlineLevel="1" x14ac:dyDescent="0.25">
      <c r="A4276" t="s">
        <v>541</v>
      </c>
      <c r="B4276" t="s">
        <v>12</v>
      </c>
      <c r="C4276" s="1" t="str">
        <f>HYPERLINK("http://продеталь.рф/search.html?article=DT92093S0","DT92093S0")</f>
        <v>DT92093S0</v>
      </c>
      <c r="D4276" t="s">
        <v>9</v>
      </c>
    </row>
    <row r="4277" spans="1:4" x14ac:dyDescent="0.25">
      <c r="A4277" t="s">
        <v>542</v>
      </c>
      <c r="B4277" s="2" t="s">
        <v>542</v>
      </c>
      <c r="C4277" s="2"/>
      <c r="D4277" s="2"/>
    </row>
    <row r="4278" spans="1:4" outlineLevel="1" x14ac:dyDescent="0.25">
      <c r="A4278" t="s">
        <v>542</v>
      </c>
      <c r="B4278" t="s">
        <v>1</v>
      </c>
      <c r="C4278" s="1" t="str">
        <f>HYPERLINK("http://продеталь.рф/search.html?article=DT20101501000","DT20101501000")</f>
        <v>DT20101501000</v>
      </c>
      <c r="D4278" t="s">
        <v>9</v>
      </c>
    </row>
    <row r="4279" spans="1:4" outlineLevel="1" x14ac:dyDescent="0.25">
      <c r="A4279" t="s">
        <v>542</v>
      </c>
      <c r="B4279" t="s">
        <v>51</v>
      </c>
      <c r="C4279" s="1" t="str">
        <f>HYPERLINK("http://продеталь.рф/search.html?article=DS30069AW","DS30069AW")</f>
        <v>DS30069AW</v>
      </c>
      <c r="D4279" t="s">
        <v>2</v>
      </c>
    </row>
    <row r="4280" spans="1:4" outlineLevel="1" x14ac:dyDescent="0.25">
      <c r="A4280" t="s">
        <v>542</v>
      </c>
      <c r="B4280" t="s">
        <v>27</v>
      </c>
      <c r="C4280" s="1" t="str">
        <f>HYPERLINK("http://продеталь.рф/search.html?article=DT201009U1000","DT201009U1000")</f>
        <v>DT201009U1000</v>
      </c>
      <c r="D4280" t="s">
        <v>9</v>
      </c>
    </row>
    <row r="4281" spans="1:4" outlineLevel="1" x14ac:dyDescent="0.25">
      <c r="A4281" t="s">
        <v>542</v>
      </c>
      <c r="B4281" t="s">
        <v>5</v>
      </c>
      <c r="C4281" s="1" t="str">
        <f>HYPERLINK("http://продеталь.рф/search.html?article=DT201016L0L00","DT201016L0L00")</f>
        <v>DT201016L0L00</v>
      </c>
      <c r="D4281" t="s">
        <v>9</v>
      </c>
    </row>
    <row r="4282" spans="1:4" outlineLevel="1" x14ac:dyDescent="0.25">
      <c r="A4282" t="s">
        <v>542</v>
      </c>
      <c r="B4282" t="s">
        <v>5</v>
      </c>
      <c r="C4282" s="1" t="str">
        <f>HYPERLINK("http://продеталь.рф/search.html?article=DT201016L0R00","DT201016L0R00")</f>
        <v>DT201016L0R00</v>
      </c>
      <c r="D4282" t="s">
        <v>9</v>
      </c>
    </row>
    <row r="4283" spans="1:4" x14ac:dyDescent="0.25">
      <c r="A4283" t="s">
        <v>543</v>
      </c>
      <c r="B4283" s="2" t="s">
        <v>543</v>
      </c>
      <c r="C4283" s="2"/>
      <c r="D4283" s="2"/>
    </row>
    <row r="4284" spans="1:4" outlineLevel="1" x14ac:dyDescent="0.25">
      <c r="A4284" t="s">
        <v>543</v>
      </c>
      <c r="B4284" t="s">
        <v>79</v>
      </c>
      <c r="C4284" s="1" t="str">
        <f>HYPERLINK("http://продеталь.рф/search.html?article=DT92100400000","DT92100400000")</f>
        <v>DT92100400000</v>
      </c>
      <c r="D4284" t="s">
        <v>9</v>
      </c>
    </row>
    <row r="4285" spans="1:4" outlineLevel="1" x14ac:dyDescent="0.25">
      <c r="A4285" t="s">
        <v>543</v>
      </c>
      <c r="B4285" t="s">
        <v>84</v>
      </c>
      <c r="C4285" s="1" t="str">
        <f>HYPERLINK("http://продеталь.рф/search.html?article=DT921000T1000","DT921000T1000")</f>
        <v>DT921000T1000</v>
      </c>
      <c r="D4285" t="s">
        <v>9</v>
      </c>
    </row>
    <row r="4286" spans="1:4" outlineLevel="1" x14ac:dyDescent="0.25">
      <c r="A4286" t="s">
        <v>543</v>
      </c>
      <c r="B4286" t="s">
        <v>84</v>
      </c>
      <c r="C4286" s="1" t="str">
        <f>HYPERLINK("http://продеталь.рф/search.html?article=PDS43264AL","PDS43264AL")</f>
        <v>PDS43264AL</v>
      </c>
      <c r="D4286" t="s">
        <v>6</v>
      </c>
    </row>
    <row r="4287" spans="1:4" outlineLevel="1" x14ac:dyDescent="0.25">
      <c r="A4287" t="s">
        <v>543</v>
      </c>
      <c r="B4287" t="s">
        <v>84</v>
      </c>
      <c r="C4287" s="1" t="str">
        <f>HYPERLINK("http://продеталь.рф/search.html?article=PDS43264AR","PDS43264AR")</f>
        <v>PDS43264AR</v>
      </c>
      <c r="D4287" t="s">
        <v>6</v>
      </c>
    </row>
    <row r="4288" spans="1:4" outlineLevel="1" x14ac:dyDescent="0.25">
      <c r="A4288" t="s">
        <v>543</v>
      </c>
      <c r="B4288" t="s">
        <v>24</v>
      </c>
      <c r="C4288" s="1" t="str">
        <f>HYPERLINK("http://продеталь.рф/search.html?article=PDS10136AL","PDS10136AL")</f>
        <v>PDS10136AL</v>
      </c>
      <c r="D4288" t="s">
        <v>6</v>
      </c>
    </row>
    <row r="4289" spans="1:4" outlineLevel="1" x14ac:dyDescent="0.25">
      <c r="A4289" t="s">
        <v>543</v>
      </c>
      <c r="B4289" t="s">
        <v>24</v>
      </c>
      <c r="C4289" s="1" t="str">
        <f>HYPERLINK("http://продеталь.рф/search.html?article=PDS10136AR","PDS10136AR")</f>
        <v>PDS10136AR</v>
      </c>
      <c r="D4289" t="s">
        <v>6</v>
      </c>
    </row>
    <row r="4290" spans="1:4" outlineLevel="1" x14ac:dyDescent="0.25">
      <c r="A4290" t="s">
        <v>543</v>
      </c>
      <c r="B4290" t="s">
        <v>3</v>
      </c>
      <c r="C4290" s="1" t="str">
        <f>HYPERLINK("http://продеталь.рф/search.html?article=208034056B","208034056B")</f>
        <v>208034056B</v>
      </c>
      <c r="D4290" t="s">
        <v>4</v>
      </c>
    </row>
    <row r="4291" spans="1:4" outlineLevel="1" x14ac:dyDescent="0.25">
      <c r="A4291" t="s">
        <v>543</v>
      </c>
      <c r="B4291" t="s">
        <v>3</v>
      </c>
      <c r="C4291" s="1" t="str">
        <f>HYPERLINK("http://продеталь.рф/search.html?article=208033056B","208033056B")</f>
        <v>208033056B</v>
      </c>
      <c r="D4291" t="s">
        <v>4</v>
      </c>
    </row>
    <row r="4292" spans="1:4" outlineLevel="1" x14ac:dyDescent="0.25">
      <c r="A4292" t="s">
        <v>543</v>
      </c>
      <c r="B4292" t="s">
        <v>3</v>
      </c>
      <c r="C4292" s="1" t="str">
        <f>HYPERLINK("http://продеталь.рф/search.html?article=20A634052B","20A634052B")</f>
        <v>20A634052B</v>
      </c>
      <c r="D4292" t="s">
        <v>4</v>
      </c>
    </row>
    <row r="4293" spans="1:4" outlineLevel="1" x14ac:dyDescent="0.25">
      <c r="A4293" t="s">
        <v>543</v>
      </c>
      <c r="B4293" t="s">
        <v>3</v>
      </c>
      <c r="C4293" s="1" t="str">
        <f>HYPERLINK("http://продеталь.рф/search.html?article=20A633052B","20A633052B")</f>
        <v>20A633052B</v>
      </c>
      <c r="D4293" t="s">
        <v>4</v>
      </c>
    </row>
    <row r="4294" spans="1:4" outlineLevel="1" x14ac:dyDescent="0.25">
      <c r="A4294" t="s">
        <v>543</v>
      </c>
      <c r="B4294" t="s">
        <v>28</v>
      </c>
      <c r="C4294" s="1" t="str">
        <f>HYPERLINK("http://продеталь.рф/search.html?article=RA62990","RA62990")</f>
        <v>RA62990</v>
      </c>
      <c r="D4294" t="s">
        <v>6</v>
      </c>
    </row>
    <row r="4295" spans="1:4" outlineLevel="1" x14ac:dyDescent="0.25">
      <c r="A4295" t="s">
        <v>543</v>
      </c>
      <c r="B4295" t="s">
        <v>39</v>
      </c>
      <c r="C4295" s="1" t="str">
        <f>HYPERLINK("http://продеталь.рф/search.html?article=AFN101","AFN101")</f>
        <v>AFN101</v>
      </c>
      <c r="D4295" t="s">
        <v>6</v>
      </c>
    </row>
    <row r="4296" spans="1:4" outlineLevel="1" x14ac:dyDescent="0.25">
      <c r="A4296" t="s">
        <v>543</v>
      </c>
      <c r="B4296" t="s">
        <v>13</v>
      </c>
      <c r="C4296" s="1" t="str">
        <f>HYPERLINK("http://продеталь.рф/search.html?article=DT921000R0000","DT921000R0000")</f>
        <v>DT921000R0000</v>
      </c>
      <c r="D4296" t="s">
        <v>9</v>
      </c>
    </row>
    <row r="4297" spans="1:4" x14ac:dyDescent="0.25">
      <c r="A4297" t="s">
        <v>544</v>
      </c>
      <c r="B4297" s="2" t="s">
        <v>544</v>
      </c>
      <c r="C4297" s="2"/>
      <c r="D4297" s="2"/>
    </row>
    <row r="4298" spans="1:4" outlineLevel="1" x14ac:dyDescent="0.25">
      <c r="A4298" t="s">
        <v>544</v>
      </c>
      <c r="B4298" t="s">
        <v>66</v>
      </c>
      <c r="C4298" s="1" t="str">
        <f>HYPERLINK("http://продеталь.рф/search.html?article=BK110","BK110")</f>
        <v>BK110</v>
      </c>
      <c r="D4298" t="s">
        <v>6</v>
      </c>
    </row>
    <row r="4299" spans="1:4" outlineLevel="1" x14ac:dyDescent="0.25">
      <c r="A4299" t="s">
        <v>544</v>
      </c>
      <c r="B4299" t="s">
        <v>5</v>
      </c>
      <c r="C4299" s="1" t="str">
        <f>HYPERLINK("http://продеталь.рф/search.html?article=DS11184AL","DS11184AL")</f>
        <v>DS11184AL</v>
      </c>
      <c r="D4299" t="s">
        <v>2</v>
      </c>
    </row>
    <row r="4300" spans="1:4" outlineLevel="1" x14ac:dyDescent="0.25">
      <c r="A4300" t="s">
        <v>544</v>
      </c>
      <c r="B4300" t="s">
        <v>5</v>
      </c>
      <c r="C4300" s="1" t="str">
        <f>HYPERLINK("http://продеталь.рф/search.html?article=DS11184AR","DS11184AR")</f>
        <v>DS11184AR</v>
      </c>
      <c r="D4300" t="s">
        <v>2</v>
      </c>
    </row>
    <row r="4301" spans="1:4" outlineLevel="1" x14ac:dyDescent="0.25">
      <c r="A4301" t="s">
        <v>544</v>
      </c>
      <c r="B4301" t="s">
        <v>13</v>
      </c>
      <c r="C4301" s="1" t="str">
        <f>HYPERLINK("http://продеталь.рф/search.html?article=DS44316A","DS44316A")</f>
        <v>DS44316A</v>
      </c>
      <c r="D4301" t="s">
        <v>2</v>
      </c>
    </row>
    <row r="4302" spans="1:4" x14ac:dyDescent="0.25">
      <c r="A4302" t="s">
        <v>545</v>
      </c>
      <c r="B4302" s="2" t="s">
        <v>545</v>
      </c>
      <c r="C4302" s="2"/>
      <c r="D4302" s="2"/>
    </row>
    <row r="4303" spans="1:4" outlineLevel="1" x14ac:dyDescent="0.25">
      <c r="A4303" t="s">
        <v>545</v>
      </c>
      <c r="B4303" t="s">
        <v>11</v>
      </c>
      <c r="C4303" s="1" t="str">
        <f>HYPERLINK("http://продеталь.рф/search.html?article=POP04003BA","POP04003BA")</f>
        <v>POP04003BA</v>
      </c>
      <c r="D4303" t="s">
        <v>6</v>
      </c>
    </row>
    <row r="4304" spans="1:4" outlineLevel="1" x14ac:dyDescent="0.25">
      <c r="A4304" t="s">
        <v>545</v>
      </c>
      <c r="B4304" t="s">
        <v>15</v>
      </c>
      <c r="C4304" s="1" t="str">
        <f>HYPERLINK("http://продеталь.рф/search.html?article=3250056","3250056")</f>
        <v>3250056</v>
      </c>
      <c r="D4304" t="s">
        <v>4</v>
      </c>
    </row>
    <row r="4305" spans="1:4" outlineLevel="1" x14ac:dyDescent="0.25">
      <c r="A4305" t="s">
        <v>545</v>
      </c>
      <c r="B4305" t="s">
        <v>15</v>
      </c>
      <c r="C4305" s="1" t="str">
        <f>HYPERLINK("http://продеталь.рф/search.html?article=3250055","3250055")</f>
        <v>3250055</v>
      </c>
      <c r="D4305" t="s">
        <v>4</v>
      </c>
    </row>
    <row r="4306" spans="1:4" outlineLevel="1" x14ac:dyDescent="0.25">
      <c r="A4306" t="s">
        <v>545</v>
      </c>
      <c r="B4306" t="s">
        <v>1</v>
      </c>
      <c r="C4306" s="1" t="str">
        <f>HYPERLINK("http://продеталь.рф/search.html?article=OP550150","OP550150")</f>
        <v>OP550150</v>
      </c>
      <c r="D4306" t="s">
        <v>9</v>
      </c>
    </row>
    <row r="4307" spans="1:4" outlineLevel="1" x14ac:dyDescent="0.25">
      <c r="A4307" t="s">
        <v>545</v>
      </c>
      <c r="B4307" t="s">
        <v>24</v>
      </c>
      <c r="C4307" s="1" t="str">
        <f>HYPERLINK("http://продеталь.рф/search.html?article=OP550161","OP550161")</f>
        <v>OP550161</v>
      </c>
      <c r="D4307" t="s">
        <v>9</v>
      </c>
    </row>
    <row r="4308" spans="1:4" outlineLevel="1" x14ac:dyDescent="0.25">
      <c r="A4308" t="s">
        <v>545</v>
      </c>
      <c r="B4308" t="s">
        <v>27</v>
      </c>
      <c r="C4308" s="1" t="str">
        <f>HYPERLINK("http://продеталь.рф/search.html?article=OP550009U0000","OP550009U0000")</f>
        <v>OP550009U0000</v>
      </c>
      <c r="D4308" t="s">
        <v>9</v>
      </c>
    </row>
    <row r="4309" spans="1:4" outlineLevel="1" x14ac:dyDescent="0.25">
      <c r="A4309" t="s">
        <v>545</v>
      </c>
      <c r="B4309" t="s">
        <v>3</v>
      </c>
      <c r="C4309" s="1" t="str">
        <f>HYPERLINK("http://продеталь.рф/search.html?article=200287052","200287052")</f>
        <v>200287052</v>
      </c>
      <c r="D4309" t="s">
        <v>4</v>
      </c>
    </row>
    <row r="4310" spans="1:4" outlineLevel="1" x14ac:dyDescent="0.25">
      <c r="A4310" t="s">
        <v>545</v>
      </c>
      <c r="B4310" t="s">
        <v>3</v>
      </c>
      <c r="C4310" s="1" t="str">
        <f>HYPERLINK("http://продеталь.рф/search.html?article=200288052","200288052")</f>
        <v>200288052</v>
      </c>
      <c r="D4310" t="s">
        <v>4</v>
      </c>
    </row>
    <row r="4311" spans="1:4" outlineLevel="1" x14ac:dyDescent="0.25">
      <c r="A4311" t="s">
        <v>545</v>
      </c>
      <c r="B4311" t="s">
        <v>5</v>
      </c>
      <c r="C4311" s="1" t="str">
        <f>HYPERLINK("http://продеталь.рф/search.html?article=211401","211401")</f>
        <v>211401</v>
      </c>
      <c r="D4311" t="s">
        <v>21</v>
      </c>
    </row>
    <row r="4312" spans="1:4" x14ac:dyDescent="0.25">
      <c r="A4312" t="s">
        <v>546</v>
      </c>
      <c r="B4312" s="2" t="s">
        <v>546</v>
      </c>
      <c r="C4312" s="2"/>
      <c r="D4312" s="2"/>
    </row>
    <row r="4313" spans="1:4" outlineLevel="1" x14ac:dyDescent="0.25">
      <c r="A4313" t="s">
        <v>546</v>
      </c>
      <c r="B4313" t="s">
        <v>24</v>
      </c>
      <c r="C4313" s="1" t="str">
        <f>HYPERLINK("http://продеталь.рф/search.html?article=99E27L","99E27L")</f>
        <v>99E27L</v>
      </c>
      <c r="D4313" t="s">
        <v>36</v>
      </c>
    </row>
    <row r="4314" spans="1:4" outlineLevel="1" x14ac:dyDescent="0.25">
      <c r="A4314" t="s">
        <v>546</v>
      </c>
      <c r="B4314" t="s">
        <v>32</v>
      </c>
      <c r="C4314" s="1" t="str">
        <f>HYPERLINK("http://продеталь.рф/search.html?article=388OPG129H","388OPG129H")</f>
        <v>388OPG129H</v>
      </c>
      <c r="D4314" t="s">
        <v>4</v>
      </c>
    </row>
    <row r="4315" spans="1:4" x14ac:dyDescent="0.25">
      <c r="A4315" t="s">
        <v>547</v>
      </c>
      <c r="B4315" s="2" t="s">
        <v>547</v>
      </c>
      <c r="C4315" s="2"/>
      <c r="D4315" s="2"/>
    </row>
    <row r="4316" spans="1:4" outlineLevel="1" x14ac:dyDescent="0.25">
      <c r="A4316" t="s">
        <v>547</v>
      </c>
      <c r="B4316" t="s">
        <v>11</v>
      </c>
      <c r="C4316" s="1" t="str">
        <f>HYPERLINK("http://продеталь.рф/search.html?article=SU50100000000","SU50100000000")</f>
        <v>SU50100000000</v>
      </c>
      <c r="D4316" t="s">
        <v>9</v>
      </c>
    </row>
    <row r="4317" spans="1:4" outlineLevel="1" x14ac:dyDescent="0.25">
      <c r="A4317" t="s">
        <v>547</v>
      </c>
      <c r="B4317" t="s">
        <v>15</v>
      </c>
      <c r="C4317" s="1" t="str">
        <f>HYPERLINK("http://продеталь.рф/search.html?article=SNM1010BL","SNM1010BL")</f>
        <v>SNM1010BL</v>
      </c>
      <c r="D4317" t="s">
        <v>2</v>
      </c>
    </row>
    <row r="4318" spans="1:4" outlineLevel="1" x14ac:dyDescent="0.25">
      <c r="A4318" t="s">
        <v>547</v>
      </c>
      <c r="B4318" t="s">
        <v>15</v>
      </c>
      <c r="C4318" s="1" t="str">
        <f>HYPERLINK("http://продеталь.рф/search.html?article=SNM1010BR","SNM1010BR")</f>
        <v>SNM1010BR</v>
      </c>
      <c r="D4318" t="s">
        <v>2</v>
      </c>
    </row>
    <row r="4319" spans="1:4" outlineLevel="1" x14ac:dyDescent="0.25">
      <c r="A4319" t="s">
        <v>547</v>
      </c>
      <c r="B4319" t="s">
        <v>1</v>
      </c>
      <c r="C4319" s="1" t="str">
        <f>HYPERLINK("http://продеталь.рф/search.html?article=SU50101500000","SU50101500000")</f>
        <v>SU50101500000</v>
      </c>
      <c r="D4319" t="s">
        <v>9</v>
      </c>
    </row>
    <row r="4320" spans="1:4" outlineLevel="1" x14ac:dyDescent="0.25">
      <c r="A4320" t="s">
        <v>547</v>
      </c>
      <c r="B4320" t="s">
        <v>66</v>
      </c>
      <c r="C4320" s="1" t="str">
        <f>HYPERLINK("http://продеталь.рф/search.html?article=BK112","BK112")</f>
        <v>BK112</v>
      </c>
      <c r="D4320" t="s">
        <v>6</v>
      </c>
    </row>
    <row r="4321" spans="1:4" outlineLevel="1" x14ac:dyDescent="0.25">
      <c r="A4321" t="s">
        <v>547</v>
      </c>
      <c r="B4321" t="s">
        <v>27</v>
      </c>
      <c r="C4321" s="1" t="str">
        <f>HYPERLINK("http://продеталь.рф/search.html?article=SU501009U0000","SU501009U0000")</f>
        <v>SU501009U0000</v>
      </c>
      <c r="D4321" t="s">
        <v>9</v>
      </c>
    </row>
    <row r="4322" spans="1:4" outlineLevel="1" x14ac:dyDescent="0.25">
      <c r="A4322" t="s">
        <v>547</v>
      </c>
      <c r="B4322" t="s">
        <v>5</v>
      </c>
      <c r="C4322" s="1" t="str">
        <f>HYPERLINK("http://продеталь.рф/search.html?article=PSN11012CR","PSN11012CR")</f>
        <v>PSN11012CR</v>
      </c>
      <c r="D4322" t="s">
        <v>6</v>
      </c>
    </row>
    <row r="4323" spans="1:4" x14ac:dyDescent="0.25">
      <c r="A4323" t="s">
        <v>548</v>
      </c>
      <c r="B4323" s="2" t="s">
        <v>548</v>
      </c>
      <c r="C4323" s="2"/>
      <c r="D4323" s="2"/>
    </row>
    <row r="4324" spans="1:4" outlineLevel="1" x14ac:dyDescent="0.25">
      <c r="A4324" t="s">
        <v>548</v>
      </c>
      <c r="B4324" t="s">
        <v>45</v>
      </c>
      <c r="C4324" s="1" t="str">
        <f>HYPERLINK("http://продеталь.рф/search.html?article=5075582","5075582")</f>
        <v>5075582</v>
      </c>
      <c r="D4324" t="s">
        <v>46</v>
      </c>
    </row>
    <row r="4325" spans="1:4" outlineLevel="1" x14ac:dyDescent="0.25">
      <c r="A4325" t="s">
        <v>548</v>
      </c>
      <c r="B4325" t="s">
        <v>54</v>
      </c>
      <c r="C4325" s="1" t="str">
        <f>HYPERLINK("http://продеталь.рф/search.html?article=5075011","5075011")</f>
        <v>5075011</v>
      </c>
      <c r="D4325" t="s">
        <v>46</v>
      </c>
    </row>
    <row r="4326" spans="1:4" outlineLevel="1" x14ac:dyDescent="0.25">
      <c r="A4326" t="s">
        <v>548</v>
      </c>
      <c r="B4326" t="s">
        <v>54</v>
      </c>
      <c r="C4326" s="1" t="str">
        <f>HYPERLINK("http://продеталь.рф/search.html?article=5075012","5075012")</f>
        <v>5075012</v>
      </c>
      <c r="D4326" t="s">
        <v>46</v>
      </c>
    </row>
    <row r="4327" spans="1:4" outlineLevel="1" x14ac:dyDescent="0.25">
      <c r="A4327" t="s">
        <v>548</v>
      </c>
      <c r="B4327" t="s">
        <v>16</v>
      </c>
      <c r="C4327" s="1" t="str">
        <f>HYPERLINK("http://продеталь.рф/search.html?article=5513190E","5513190E")</f>
        <v>5513190E</v>
      </c>
      <c r="D4327" t="s">
        <v>81</v>
      </c>
    </row>
    <row r="4328" spans="1:4" outlineLevel="1" x14ac:dyDescent="0.25">
      <c r="A4328" t="s">
        <v>548</v>
      </c>
      <c r="B4328" t="s">
        <v>16</v>
      </c>
      <c r="C4328" s="1" t="str">
        <f>HYPERLINK("http://продеталь.рф/search.html?article=5513200E","5513200E")</f>
        <v>5513200E</v>
      </c>
      <c r="D4328" t="s">
        <v>81</v>
      </c>
    </row>
    <row r="4329" spans="1:4" x14ac:dyDescent="0.25">
      <c r="A4329" t="s">
        <v>549</v>
      </c>
      <c r="B4329" s="2" t="s">
        <v>549</v>
      </c>
      <c r="C4329" s="2"/>
      <c r="D4329" s="2"/>
    </row>
    <row r="4330" spans="1:4" outlineLevel="1" x14ac:dyDescent="0.25">
      <c r="A4330" t="s">
        <v>549</v>
      </c>
      <c r="B4330" t="s">
        <v>11</v>
      </c>
      <c r="C4330" s="1" t="str">
        <f>HYPERLINK("http://продеталь.рф/search.html?article=OP47000G0","OP47000G0")</f>
        <v>OP47000G0</v>
      </c>
      <c r="D4330" t="s">
        <v>9</v>
      </c>
    </row>
    <row r="4331" spans="1:4" outlineLevel="1" x14ac:dyDescent="0.25">
      <c r="A4331" t="s">
        <v>549</v>
      </c>
      <c r="B4331" t="s">
        <v>11</v>
      </c>
      <c r="C4331" s="1" t="str">
        <f>HYPERLINK("http://продеталь.рф/search.html?article=027003","027003")</f>
        <v>027003</v>
      </c>
      <c r="D4331" t="s">
        <v>163</v>
      </c>
    </row>
    <row r="4332" spans="1:4" outlineLevel="1" x14ac:dyDescent="0.25">
      <c r="A4332" t="s">
        <v>549</v>
      </c>
      <c r="B4332" t="s">
        <v>11</v>
      </c>
      <c r="C4332" s="1" t="str">
        <f>HYPERLINK("http://продеталь.рф/search.html?article=027004","027004")</f>
        <v>027004</v>
      </c>
      <c r="D4332" t="s">
        <v>163</v>
      </c>
    </row>
    <row r="4333" spans="1:4" outlineLevel="1" x14ac:dyDescent="0.25">
      <c r="A4333" t="s">
        <v>549</v>
      </c>
      <c r="B4333" t="s">
        <v>15</v>
      </c>
      <c r="C4333" s="1" t="str">
        <f>HYPERLINK("http://продеталь.рф/search.html?article=3250002","3250002")</f>
        <v>3250002</v>
      </c>
      <c r="D4333" t="s">
        <v>4</v>
      </c>
    </row>
    <row r="4334" spans="1:4" outlineLevel="1" x14ac:dyDescent="0.25">
      <c r="A4334" t="s">
        <v>549</v>
      </c>
      <c r="B4334" t="s">
        <v>15</v>
      </c>
      <c r="C4334" s="1" t="str">
        <f>HYPERLINK("http://продеталь.рф/search.html?article=3250001","3250001")</f>
        <v>3250001</v>
      </c>
      <c r="D4334" t="s">
        <v>4</v>
      </c>
    </row>
    <row r="4335" spans="1:4" outlineLevel="1" x14ac:dyDescent="0.25">
      <c r="A4335" t="s">
        <v>549</v>
      </c>
      <c r="B4335" t="s">
        <v>15</v>
      </c>
      <c r="C4335" s="1" t="str">
        <f>HYPERLINK("http://продеталь.рф/search.html?article=3250008","3250008")</f>
        <v>3250008</v>
      </c>
      <c r="D4335" t="s">
        <v>4</v>
      </c>
    </row>
    <row r="4336" spans="1:4" outlineLevel="1" x14ac:dyDescent="0.25">
      <c r="A4336" t="s">
        <v>549</v>
      </c>
      <c r="B4336" t="s">
        <v>15</v>
      </c>
      <c r="C4336" s="1" t="str">
        <f>HYPERLINK("http://продеталь.рф/search.html?article=3250006","3250006")</f>
        <v>3250006</v>
      </c>
      <c r="D4336" t="s">
        <v>4</v>
      </c>
    </row>
    <row r="4337" spans="1:4" outlineLevel="1" x14ac:dyDescent="0.25">
      <c r="A4337" t="s">
        <v>549</v>
      </c>
      <c r="B4337" t="s">
        <v>15</v>
      </c>
      <c r="C4337" s="1" t="str">
        <f>HYPERLINK("http://продеталь.рф/search.html?article=3250005","3250005")</f>
        <v>3250005</v>
      </c>
      <c r="D4337" t="s">
        <v>4</v>
      </c>
    </row>
    <row r="4338" spans="1:4" outlineLevel="1" x14ac:dyDescent="0.25">
      <c r="A4338" t="s">
        <v>549</v>
      </c>
      <c r="B4338" t="s">
        <v>550</v>
      </c>
      <c r="C4338" s="1" t="str">
        <f>HYPERLINK("http://продеталь.рф/search.html?article=32500110","32500110")</f>
        <v>32500110</v>
      </c>
      <c r="D4338" t="s">
        <v>4</v>
      </c>
    </row>
    <row r="4339" spans="1:4" outlineLevel="1" x14ac:dyDescent="0.25">
      <c r="A4339" t="s">
        <v>549</v>
      </c>
      <c r="B4339" t="s">
        <v>551</v>
      </c>
      <c r="C4339" s="1" t="str">
        <f>HYPERLINK("http://продеталь.рф/search.html?article=5050522","5050522")</f>
        <v>5050522</v>
      </c>
      <c r="D4339" t="s">
        <v>46</v>
      </c>
    </row>
    <row r="4340" spans="1:4" outlineLevel="1" x14ac:dyDescent="0.25">
      <c r="A4340" t="s">
        <v>549</v>
      </c>
      <c r="B4340" t="s">
        <v>23</v>
      </c>
      <c r="C4340" s="1" t="str">
        <f>HYPERLINK("http://продеталь.рф/search.html?article=110373012","110373012")</f>
        <v>110373012</v>
      </c>
      <c r="D4340" t="s">
        <v>4</v>
      </c>
    </row>
    <row r="4341" spans="1:4" outlineLevel="1" x14ac:dyDescent="0.25">
      <c r="A4341" t="s">
        <v>549</v>
      </c>
      <c r="B4341" t="s">
        <v>23</v>
      </c>
      <c r="C4341" s="1" t="str">
        <f>HYPERLINK("http://продеталь.рф/search.html?article=110374112","110374112")</f>
        <v>110374112</v>
      </c>
      <c r="D4341" t="s">
        <v>4</v>
      </c>
    </row>
    <row r="4342" spans="1:4" outlineLevel="1" x14ac:dyDescent="0.25">
      <c r="A4342" t="s">
        <v>549</v>
      </c>
      <c r="B4342" t="s">
        <v>23</v>
      </c>
      <c r="C4342" s="1" t="str">
        <f>HYPERLINK("http://продеталь.рф/search.html?article=110374012","110374012")</f>
        <v>110374012</v>
      </c>
      <c r="D4342" t="s">
        <v>4</v>
      </c>
    </row>
    <row r="4343" spans="1:4" outlineLevel="1" x14ac:dyDescent="0.25">
      <c r="A4343" t="s">
        <v>549</v>
      </c>
      <c r="B4343" t="s">
        <v>23</v>
      </c>
      <c r="C4343" s="1" t="str">
        <f>HYPERLINK("http://продеталь.рф/search.html?article=110372012","110372012")</f>
        <v>110372012</v>
      </c>
      <c r="D4343" t="s">
        <v>4</v>
      </c>
    </row>
    <row r="4344" spans="1:4" outlineLevel="1" x14ac:dyDescent="0.25">
      <c r="A4344" t="s">
        <v>549</v>
      </c>
      <c r="B4344" t="s">
        <v>23</v>
      </c>
      <c r="C4344" s="1" t="str">
        <f>HYPERLINK("http://продеталь.рф/search.html?article=110371012","110371012")</f>
        <v>110371012</v>
      </c>
      <c r="D4344" t="s">
        <v>4</v>
      </c>
    </row>
    <row r="4345" spans="1:4" outlineLevel="1" x14ac:dyDescent="0.25">
      <c r="A4345" t="s">
        <v>549</v>
      </c>
      <c r="B4345" t="s">
        <v>45</v>
      </c>
      <c r="C4345" s="1" t="str">
        <f>HYPERLINK("http://продеталь.рф/search.html?article=5050581","5050581")</f>
        <v>5050581</v>
      </c>
      <c r="D4345" t="s">
        <v>46</v>
      </c>
    </row>
    <row r="4346" spans="1:4" outlineLevel="1" x14ac:dyDescent="0.25">
      <c r="A4346" t="s">
        <v>549</v>
      </c>
      <c r="B4346" t="s">
        <v>45</v>
      </c>
      <c r="C4346" s="1" t="str">
        <f>HYPERLINK("http://продеталь.рф/search.html?article=5050584","5050584")</f>
        <v>5050584</v>
      </c>
      <c r="D4346" t="s">
        <v>46</v>
      </c>
    </row>
    <row r="4347" spans="1:4" outlineLevel="1" x14ac:dyDescent="0.25">
      <c r="A4347" t="s">
        <v>549</v>
      </c>
      <c r="B4347" t="s">
        <v>1</v>
      </c>
      <c r="C4347" s="1" t="str">
        <f>HYPERLINK("http://продеталь.рф/search.html?article=OP470150","OP470150")</f>
        <v>OP470150</v>
      </c>
      <c r="D4347" t="s">
        <v>9</v>
      </c>
    </row>
    <row r="4348" spans="1:4" outlineLevel="1" x14ac:dyDescent="0.25">
      <c r="A4348" t="s">
        <v>549</v>
      </c>
      <c r="B4348" t="s">
        <v>24</v>
      </c>
      <c r="C4348" s="1" t="str">
        <f>HYPERLINK("http://продеталь.рф/search.html?article=110610D","110610D")</f>
        <v>110610D</v>
      </c>
      <c r="D4348" t="s">
        <v>164</v>
      </c>
    </row>
    <row r="4349" spans="1:4" outlineLevel="1" x14ac:dyDescent="0.25">
      <c r="A4349" t="s">
        <v>549</v>
      </c>
      <c r="B4349" t="s">
        <v>51</v>
      </c>
      <c r="C4349" s="1" t="str">
        <f>HYPERLINK("http://продеталь.рф/search.html?article=5050231","5050231")</f>
        <v>5050231</v>
      </c>
      <c r="D4349" t="s">
        <v>46</v>
      </c>
    </row>
    <row r="4350" spans="1:4" outlineLevel="1" x14ac:dyDescent="0.25">
      <c r="A4350" t="s">
        <v>549</v>
      </c>
      <c r="B4350" t="s">
        <v>451</v>
      </c>
      <c r="C4350" s="1" t="str">
        <f>HYPERLINK("http://продеталь.рф/search.html?article=130606","130606")</f>
        <v>130606</v>
      </c>
      <c r="D4350" t="s">
        <v>164</v>
      </c>
    </row>
    <row r="4351" spans="1:4" outlineLevel="1" x14ac:dyDescent="0.25">
      <c r="A4351" t="s">
        <v>549</v>
      </c>
      <c r="B4351" t="s">
        <v>3</v>
      </c>
      <c r="C4351" s="1" t="str">
        <f>HYPERLINK("http://продеталь.рф/search.html?article=203103052","203103052")</f>
        <v>203103052</v>
      </c>
      <c r="D4351" t="s">
        <v>4</v>
      </c>
    </row>
    <row r="4352" spans="1:4" outlineLevel="1" x14ac:dyDescent="0.25">
      <c r="A4352" t="s">
        <v>549</v>
      </c>
      <c r="B4352" t="s">
        <v>54</v>
      </c>
      <c r="C4352" s="1" t="str">
        <f>HYPERLINK("http://продеталь.рф/search.html?article=5050011","5050011")</f>
        <v>5050011</v>
      </c>
      <c r="D4352" t="s">
        <v>46</v>
      </c>
    </row>
    <row r="4353" spans="1:4" outlineLevel="1" x14ac:dyDescent="0.25">
      <c r="A4353" t="s">
        <v>549</v>
      </c>
      <c r="B4353" t="s">
        <v>54</v>
      </c>
      <c r="C4353" s="1" t="str">
        <f>HYPERLINK("http://продеталь.рф/search.html?article=5050012","5050012")</f>
        <v>5050012</v>
      </c>
      <c r="D4353" t="s">
        <v>46</v>
      </c>
    </row>
    <row r="4354" spans="1:4" outlineLevel="1" x14ac:dyDescent="0.25">
      <c r="A4354" t="s">
        <v>549</v>
      </c>
      <c r="B4354" t="s">
        <v>19</v>
      </c>
      <c r="C4354" s="1" t="str">
        <f>HYPERLINK("http://продеталь.рф/search.html?article=195388000","195388000")</f>
        <v>195388000</v>
      </c>
      <c r="D4354" t="s">
        <v>4</v>
      </c>
    </row>
    <row r="4355" spans="1:4" outlineLevel="1" x14ac:dyDescent="0.25">
      <c r="A4355" t="s">
        <v>549</v>
      </c>
      <c r="B4355" t="s">
        <v>28</v>
      </c>
      <c r="C4355" s="1" t="str">
        <f>HYPERLINK("http://продеталь.рф/search.html?article=RA63059A","RA63059A")</f>
        <v>RA63059A</v>
      </c>
      <c r="D4355" t="s">
        <v>6</v>
      </c>
    </row>
    <row r="4356" spans="1:4" outlineLevel="1" x14ac:dyDescent="0.25">
      <c r="A4356" t="s">
        <v>549</v>
      </c>
      <c r="B4356" t="s">
        <v>118</v>
      </c>
      <c r="C4356" s="1" t="str">
        <f>HYPERLINK("http://продеталь.рф/search.html?article=SOP2003R","SOP2003R")</f>
        <v>SOP2003R</v>
      </c>
      <c r="D4356" t="s">
        <v>63</v>
      </c>
    </row>
    <row r="4357" spans="1:4" outlineLevel="1" x14ac:dyDescent="0.25">
      <c r="A4357" t="s">
        <v>549</v>
      </c>
      <c r="B4357" t="s">
        <v>16</v>
      </c>
      <c r="C4357" s="1" t="str">
        <f>HYPERLINK("http://продеталь.рф/search.html?article=182069106","182069106")</f>
        <v>182069106</v>
      </c>
      <c r="D4357" t="s">
        <v>4</v>
      </c>
    </row>
    <row r="4358" spans="1:4" outlineLevel="1" x14ac:dyDescent="0.25">
      <c r="A4358" t="s">
        <v>549</v>
      </c>
      <c r="B4358" t="s">
        <v>16</v>
      </c>
      <c r="C4358" s="1" t="str">
        <f>HYPERLINK("http://продеталь.рф/search.html?article=183169012","183169012")</f>
        <v>183169012</v>
      </c>
      <c r="D4358" t="s">
        <v>4</v>
      </c>
    </row>
    <row r="4359" spans="1:4" outlineLevel="1" x14ac:dyDescent="0.25">
      <c r="A4359" t="s">
        <v>549</v>
      </c>
      <c r="B4359" t="s">
        <v>75</v>
      </c>
      <c r="C4359" s="1" t="str">
        <f>HYPERLINK("http://продеталь.рф/search.html?article=185009412","185009412")</f>
        <v>185009412</v>
      </c>
      <c r="D4359" t="s">
        <v>4</v>
      </c>
    </row>
    <row r="4360" spans="1:4" outlineLevel="1" x14ac:dyDescent="0.25">
      <c r="A4360" t="s">
        <v>549</v>
      </c>
      <c r="B4360" t="s">
        <v>75</v>
      </c>
      <c r="C4360" s="1" t="str">
        <f>HYPERLINK("http://продеталь.рф/search.html?article=185009012","185009012")</f>
        <v>185009012</v>
      </c>
      <c r="D4360" t="s">
        <v>4</v>
      </c>
    </row>
    <row r="4361" spans="1:4" outlineLevel="1" x14ac:dyDescent="0.25">
      <c r="A4361" t="s">
        <v>549</v>
      </c>
      <c r="B4361" t="s">
        <v>75</v>
      </c>
      <c r="C4361" s="1" t="str">
        <f>HYPERLINK("http://продеталь.рф/search.html?article=185009312","185009312")</f>
        <v>185009312</v>
      </c>
      <c r="D4361" t="s">
        <v>4</v>
      </c>
    </row>
    <row r="4362" spans="1:4" x14ac:dyDescent="0.25">
      <c r="A4362" t="s">
        <v>552</v>
      </c>
      <c r="B4362" s="2" t="s">
        <v>552</v>
      </c>
      <c r="C4362" s="2"/>
      <c r="D4362" s="2"/>
    </row>
    <row r="4363" spans="1:4" outlineLevel="1" x14ac:dyDescent="0.25">
      <c r="A4363" t="s">
        <v>552</v>
      </c>
      <c r="B4363" t="s">
        <v>11</v>
      </c>
      <c r="C4363" s="1" t="str">
        <f>HYPERLINK("http://продеталь.рф/search.html?article=OPL07AS007","OPL07AS007")</f>
        <v>OPL07AS007</v>
      </c>
      <c r="D4363" t="s">
        <v>182</v>
      </c>
    </row>
    <row r="4364" spans="1:4" outlineLevel="1" x14ac:dyDescent="0.25">
      <c r="A4364" t="s">
        <v>552</v>
      </c>
      <c r="B4364" t="s">
        <v>11</v>
      </c>
      <c r="C4364" s="1" t="str">
        <f>HYPERLINK("http://продеталь.рф/search.html?article=0709121","0709121")</f>
        <v>0709121</v>
      </c>
      <c r="D4364" t="s">
        <v>58</v>
      </c>
    </row>
    <row r="4365" spans="1:4" outlineLevel="1" x14ac:dyDescent="0.25">
      <c r="A4365" t="s">
        <v>552</v>
      </c>
      <c r="B4365" t="s">
        <v>11</v>
      </c>
      <c r="C4365" s="1" t="str">
        <f>HYPERLINK("http://продеталь.рф/search.html?article=OPL07AS024","OPL07AS024")</f>
        <v>OPL07AS024</v>
      </c>
      <c r="D4365" t="s">
        <v>182</v>
      </c>
    </row>
    <row r="4366" spans="1:4" outlineLevel="1" x14ac:dyDescent="0.25">
      <c r="A4366" t="s">
        <v>552</v>
      </c>
      <c r="B4366" t="s">
        <v>15</v>
      </c>
      <c r="C4366" s="1" t="str">
        <f>HYPERLINK("http://продеталь.рф/search.html?article=3250013","3250013")</f>
        <v>3250013</v>
      </c>
      <c r="D4366" t="s">
        <v>4</v>
      </c>
    </row>
    <row r="4367" spans="1:4" outlineLevel="1" x14ac:dyDescent="0.25">
      <c r="A4367" t="s">
        <v>552</v>
      </c>
      <c r="B4367" t="s">
        <v>15</v>
      </c>
      <c r="C4367" s="1" t="str">
        <f>HYPERLINK("http://продеталь.рф/search.html?article=3250016","3250016")</f>
        <v>3250016</v>
      </c>
      <c r="D4367" t="s">
        <v>4</v>
      </c>
    </row>
    <row r="4368" spans="1:4" outlineLevel="1" x14ac:dyDescent="0.25">
      <c r="A4368" t="s">
        <v>552</v>
      </c>
      <c r="B4368" t="s">
        <v>15</v>
      </c>
      <c r="C4368" s="1" t="str">
        <f>HYPERLINK("http://продеталь.рф/search.html?article=3250015","3250015")</f>
        <v>3250015</v>
      </c>
      <c r="D4368" t="s">
        <v>4</v>
      </c>
    </row>
    <row r="4369" spans="1:4" outlineLevel="1" x14ac:dyDescent="0.25">
      <c r="A4369" t="s">
        <v>552</v>
      </c>
      <c r="B4369" t="s">
        <v>159</v>
      </c>
      <c r="C4369" s="1" t="str">
        <f>HYPERLINK("http://продеталь.рф/search.html?article=OP483930","OP483930")</f>
        <v>OP483930</v>
      </c>
      <c r="D4369" t="s">
        <v>9</v>
      </c>
    </row>
    <row r="4370" spans="1:4" outlineLevel="1" x14ac:dyDescent="0.25">
      <c r="A4370" t="s">
        <v>552</v>
      </c>
      <c r="B4370" t="s">
        <v>79</v>
      </c>
      <c r="C4370" s="1" t="str">
        <f>HYPERLINK("http://продеталь.рф/search.html?article=OP480040","OP480040")</f>
        <v>OP480040</v>
      </c>
      <c r="D4370" t="s">
        <v>9</v>
      </c>
    </row>
    <row r="4371" spans="1:4" outlineLevel="1" x14ac:dyDescent="0.25">
      <c r="A4371" t="s">
        <v>552</v>
      </c>
      <c r="B4371" t="s">
        <v>551</v>
      </c>
      <c r="C4371" s="1" t="str">
        <f>HYPERLINK("http://продеталь.рф/search.html?article=POP77025E","POP77025E")</f>
        <v>POP77025E</v>
      </c>
      <c r="D4371" t="s">
        <v>6</v>
      </c>
    </row>
    <row r="4372" spans="1:4" outlineLevel="1" x14ac:dyDescent="0.25">
      <c r="A4372" t="s">
        <v>552</v>
      </c>
      <c r="B4372" t="s">
        <v>101</v>
      </c>
      <c r="C4372" s="1" t="str">
        <f>HYPERLINK("http://продеталь.рф/search.html?article=POP99018CA","POP99018CA")</f>
        <v>POP99018CA</v>
      </c>
      <c r="D4372" t="s">
        <v>6</v>
      </c>
    </row>
    <row r="4373" spans="1:4" outlineLevel="1" x14ac:dyDescent="0.25">
      <c r="A4373" t="s">
        <v>552</v>
      </c>
      <c r="B4373" t="s">
        <v>23</v>
      </c>
      <c r="C4373" s="1" t="str">
        <f>HYPERLINK("http://продеталь.рф/search.html?article=110391012","110391012")</f>
        <v>110391012</v>
      </c>
      <c r="D4373" t="s">
        <v>4</v>
      </c>
    </row>
    <row r="4374" spans="1:4" outlineLevel="1" x14ac:dyDescent="0.25">
      <c r="A4374" t="s">
        <v>552</v>
      </c>
      <c r="B4374" t="s">
        <v>23</v>
      </c>
      <c r="C4374" s="1" t="str">
        <f>HYPERLINK("http://продеталь.рф/search.html?article=110392212","110392212")</f>
        <v>110392212</v>
      </c>
      <c r="D4374" t="s">
        <v>4</v>
      </c>
    </row>
    <row r="4375" spans="1:4" outlineLevel="1" x14ac:dyDescent="0.25">
      <c r="A4375" t="s">
        <v>552</v>
      </c>
      <c r="B4375" t="s">
        <v>23</v>
      </c>
      <c r="C4375" s="1" t="str">
        <f>HYPERLINK("http://продеталь.рф/search.html?article=110391212","110391212")</f>
        <v>110391212</v>
      </c>
      <c r="D4375" t="s">
        <v>4</v>
      </c>
    </row>
    <row r="4376" spans="1:4" outlineLevel="1" x14ac:dyDescent="0.25">
      <c r="A4376" t="s">
        <v>552</v>
      </c>
      <c r="B4376" t="s">
        <v>23</v>
      </c>
      <c r="C4376" s="1" t="str">
        <f>HYPERLINK("http://продеталь.рф/search.html?article=11A2690015B3","11A2690015B3")</f>
        <v>11A2690015B3</v>
      </c>
      <c r="D4376" t="s">
        <v>4</v>
      </c>
    </row>
    <row r="4377" spans="1:4" outlineLevel="1" x14ac:dyDescent="0.25">
      <c r="A4377" t="s">
        <v>552</v>
      </c>
      <c r="B4377" t="s">
        <v>35</v>
      </c>
      <c r="C4377" s="1" t="str">
        <f>HYPERLINK("http://продеталь.рф/search.html?article=5508346","5508346")</f>
        <v>5508346</v>
      </c>
      <c r="D4377" t="s">
        <v>81</v>
      </c>
    </row>
    <row r="4378" spans="1:4" outlineLevel="1" x14ac:dyDescent="0.25">
      <c r="A4378" t="s">
        <v>552</v>
      </c>
      <c r="B4378" t="s">
        <v>1</v>
      </c>
      <c r="C4378" s="1" t="str">
        <f>HYPERLINK("http://продеталь.рф/search.html?article=OP480150","OP480150")</f>
        <v>OP480150</v>
      </c>
      <c r="D4378" t="s">
        <v>9</v>
      </c>
    </row>
    <row r="4379" spans="1:4" outlineLevel="1" x14ac:dyDescent="0.25">
      <c r="A4379" t="s">
        <v>552</v>
      </c>
      <c r="B4379" t="s">
        <v>24</v>
      </c>
      <c r="C4379" s="1" t="str">
        <f>HYPERLINK("http://продеталь.рф/search.html?article=110622I","110622I")</f>
        <v>110622I</v>
      </c>
      <c r="D4379" t="s">
        <v>164</v>
      </c>
    </row>
    <row r="4380" spans="1:4" outlineLevel="1" x14ac:dyDescent="0.25">
      <c r="A4380" t="s">
        <v>552</v>
      </c>
      <c r="B4380" t="s">
        <v>24</v>
      </c>
      <c r="C4380" s="1" t="str">
        <f>HYPERLINK("http://продеталь.рф/search.html?article=110622D","110622D")</f>
        <v>110622D</v>
      </c>
      <c r="D4380" t="s">
        <v>164</v>
      </c>
    </row>
    <row r="4381" spans="1:4" outlineLevel="1" x14ac:dyDescent="0.25">
      <c r="A4381" t="s">
        <v>552</v>
      </c>
      <c r="B4381" t="s">
        <v>66</v>
      </c>
      <c r="C4381" s="1" t="str">
        <f>HYPERLINK("http://продеталь.рф/search.html?article=BK018","BK018")</f>
        <v>BK018</v>
      </c>
      <c r="D4381" t="s">
        <v>6</v>
      </c>
    </row>
    <row r="4382" spans="1:4" outlineLevel="1" x14ac:dyDescent="0.25">
      <c r="A4382" t="s">
        <v>552</v>
      </c>
      <c r="B4382" t="s">
        <v>37</v>
      </c>
      <c r="C4382" s="1" t="str">
        <f>HYPERLINK("http://продеталь.рф/search.html?article=709254","709254")</f>
        <v>709254</v>
      </c>
      <c r="D4382" t="s">
        <v>58</v>
      </c>
    </row>
    <row r="4383" spans="1:4" outlineLevel="1" x14ac:dyDescent="0.25">
      <c r="A4383" t="s">
        <v>552</v>
      </c>
      <c r="B4383" t="s">
        <v>37</v>
      </c>
      <c r="C4383" s="1" t="str">
        <f>HYPERLINK("http://продеталь.рф/search.html?article=709255","709255")</f>
        <v>709255</v>
      </c>
      <c r="D4383" t="s">
        <v>58</v>
      </c>
    </row>
    <row r="4384" spans="1:4" outlineLevel="1" x14ac:dyDescent="0.25">
      <c r="A4384" t="s">
        <v>552</v>
      </c>
      <c r="B4384" t="s">
        <v>37</v>
      </c>
      <c r="C4384" s="1" t="str">
        <f>HYPERLINK("http://продеталь.рф/search.html?article=0709251","0709251")</f>
        <v>0709251</v>
      </c>
      <c r="D4384" t="s">
        <v>58</v>
      </c>
    </row>
    <row r="4385" spans="1:4" outlineLevel="1" x14ac:dyDescent="0.25">
      <c r="A4385" t="s">
        <v>552</v>
      </c>
      <c r="B4385" t="s">
        <v>37</v>
      </c>
      <c r="C4385" s="1" t="str">
        <f>HYPERLINK("http://продеталь.рф/search.html?article=0709252","0709252")</f>
        <v>0709252</v>
      </c>
      <c r="D4385" t="s">
        <v>58</v>
      </c>
    </row>
    <row r="4386" spans="1:4" outlineLevel="1" x14ac:dyDescent="0.25">
      <c r="A4386" t="s">
        <v>552</v>
      </c>
      <c r="B4386" t="s">
        <v>3</v>
      </c>
      <c r="C4386" s="1" t="str">
        <f>HYPERLINK("http://продеталь.рф/search.html?article=205488082","205488082")</f>
        <v>205488082</v>
      </c>
      <c r="D4386" t="s">
        <v>4</v>
      </c>
    </row>
    <row r="4387" spans="1:4" outlineLevel="1" x14ac:dyDescent="0.25">
      <c r="A4387" t="s">
        <v>552</v>
      </c>
      <c r="B4387" t="s">
        <v>3</v>
      </c>
      <c r="C4387" s="1" t="str">
        <f>HYPERLINK("http://продеталь.рф/search.html?article=205487082","205487082")</f>
        <v>205487082</v>
      </c>
      <c r="D4387" t="s">
        <v>4</v>
      </c>
    </row>
    <row r="4388" spans="1:4" outlineLevel="1" x14ac:dyDescent="0.25">
      <c r="A4388" t="s">
        <v>552</v>
      </c>
      <c r="B4388" t="s">
        <v>5</v>
      </c>
      <c r="C4388" s="1" t="str">
        <f>HYPERLINK("http://продеталь.рф/search.html?article=OP48016L2","OP48016L2")</f>
        <v>OP48016L2</v>
      </c>
      <c r="D4388" t="s">
        <v>9</v>
      </c>
    </row>
    <row r="4389" spans="1:4" outlineLevel="1" x14ac:dyDescent="0.25">
      <c r="A4389" t="s">
        <v>552</v>
      </c>
      <c r="B4389" t="s">
        <v>54</v>
      </c>
      <c r="C4389" s="1" t="str">
        <f>HYPERLINK("http://продеталь.рф/search.html?article=5051011","5051011")</f>
        <v>5051011</v>
      </c>
      <c r="D4389" t="s">
        <v>46</v>
      </c>
    </row>
    <row r="4390" spans="1:4" outlineLevel="1" x14ac:dyDescent="0.25">
      <c r="A4390" t="s">
        <v>552</v>
      </c>
      <c r="B4390" t="s">
        <v>54</v>
      </c>
      <c r="C4390" s="1" t="str">
        <f>HYPERLINK("http://продеталь.рф/search.html?article=5051012","5051012")</f>
        <v>5051012</v>
      </c>
      <c r="D4390" t="s">
        <v>46</v>
      </c>
    </row>
    <row r="4391" spans="1:4" outlineLevel="1" x14ac:dyDescent="0.25">
      <c r="A4391" t="s">
        <v>552</v>
      </c>
      <c r="B4391" t="s">
        <v>28</v>
      </c>
      <c r="C4391" s="1" t="str">
        <f>HYPERLINK("http://продеталь.рф/search.html?article=RA63246A","RA63246A")</f>
        <v>RA63246A</v>
      </c>
      <c r="D4391" t="s">
        <v>6</v>
      </c>
    </row>
    <row r="4392" spans="1:4" outlineLevel="1" x14ac:dyDescent="0.25">
      <c r="A4392" t="s">
        <v>552</v>
      </c>
      <c r="B4392" t="s">
        <v>28</v>
      </c>
      <c r="C4392" s="1" t="str">
        <f>HYPERLINK("http://продеталь.рф/search.html?article=RA63247A","RA63247A")</f>
        <v>RA63247A</v>
      </c>
      <c r="D4392" t="s">
        <v>6</v>
      </c>
    </row>
    <row r="4393" spans="1:4" outlineLevel="1" x14ac:dyDescent="0.25">
      <c r="A4393" t="s">
        <v>552</v>
      </c>
      <c r="B4393" t="s">
        <v>28</v>
      </c>
      <c r="C4393" s="1" t="str">
        <f>HYPERLINK("http://продеталь.рф/search.html?article=RA63249A","RA63249A")</f>
        <v>RA63249A</v>
      </c>
      <c r="D4393" t="s">
        <v>6</v>
      </c>
    </row>
    <row r="4394" spans="1:4" outlineLevel="1" x14ac:dyDescent="0.25">
      <c r="A4394" t="s">
        <v>552</v>
      </c>
      <c r="B4394" t="s">
        <v>39</v>
      </c>
      <c r="C4394" s="1" t="str">
        <f>HYPERLINK("http://продеталь.рф/search.html?article=AFO108","AFO108")</f>
        <v>AFO108</v>
      </c>
      <c r="D4394" t="s">
        <v>6</v>
      </c>
    </row>
    <row r="4395" spans="1:4" outlineLevel="1" x14ac:dyDescent="0.25">
      <c r="A4395" t="s">
        <v>552</v>
      </c>
      <c r="B4395" t="s">
        <v>40</v>
      </c>
      <c r="C4395" s="1" t="str">
        <f>HYPERLINK("http://продеталь.рф/search.html?article=017053","017053")</f>
        <v>017053</v>
      </c>
      <c r="D4395" t="s">
        <v>163</v>
      </c>
    </row>
    <row r="4396" spans="1:4" outlineLevel="1" x14ac:dyDescent="0.25">
      <c r="A4396" t="s">
        <v>552</v>
      </c>
      <c r="B4396" t="s">
        <v>12</v>
      </c>
      <c r="C4396" s="1" t="str">
        <f>HYPERLINK("http://продеталь.рф/search.html?article=OP07012GA","OP07012GA")</f>
        <v>OP07012GA</v>
      </c>
      <c r="D4396" t="s">
        <v>2</v>
      </c>
    </row>
    <row r="4397" spans="1:4" outlineLevel="1" x14ac:dyDescent="0.25">
      <c r="A4397" t="s">
        <v>552</v>
      </c>
      <c r="B4397" t="s">
        <v>12</v>
      </c>
      <c r="C4397" s="1" t="str">
        <f>HYPERLINK("http://продеталь.рф/search.html?article=232401","232401")</f>
        <v>232401</v>
      </c>
      <c r="D4397" t="s">
        <v>61</v>
      </c>
    </row>
    <row r="4398" spans="1:4" outlineLevel="1" x14ac:dyDescent="0.25">
      <c r="A4398" t="s">
        <v>552</v>
      </c>
      <c r="B4398" t="s">
        <v>71</v>
      </c>
      <c r="C4398" s="1" t="str">
        <f>HYPERLINK("http://продеталь.рф/search.html?article=POP02003VAL","POP02003VAL")</f>
        <v>POP02003VAL</v>
      </c>
      <c r="D4398" t="s">
        <v>6</v>
      </c>
    </row>
    <row r="4399" spans="1:4" outlineLevel="1" x14ac:dyDescent="0.25">
      <c r="A4399" t="s">
        <v>552</v>
      </c>
      <c r="B4399" t="s">
        <v>71</v>
      </c>
      <c r="C4399" s="1" t="str">
        <f>HYPERLINK("http://продеталь.рф/search.html?article=POP02003VAR","POP02003VAR")</f>
        <v>POP02003VAR</v>
      </c>
      <c r="D4399" t="s">
        <v>6</v>
      </c>
    </row>
    <row r="4400" spans="1:4" outlineLevel="1" x14ac:dyDescent="0.25">
      <c r="A4400" t="s">
        <v>552</v>
      </c>
      <c r="B4400" t="s">
        <v>32</v>
      </c>
      <c r="C4400" s="1" t="str">
        <f>HYPERLINK("http://продеталь.рф/search.html?article=32500141","32500141")</f>
        <v>32500141</v>
      </c>
      <c r="D4400" t="s">
        <v>4</v>
      </c>
    </row>
    <row r="4401" spans="1:4" outlineLevel="1" x14ac:dyDescent="0.25">
      <c r="A4401" t="s">
        <v>552</v>
      </c>
      <c r="B4401" t="s">
        <v>32</v>
      </c>
      <c r="C4401" s="1" t="str">
        <f>HYPERLINK("http://продеталь.рф/search.html?article=32500151","32500151")</f>
        <v>32500151</v>
      </c>
      <c r="D4401" t="s">
        <v>4</v>
      </c>
    </row>
    <row r="4402" spans="1:4" outlineLevel="1" x14ac:dyDescent="0.25">
      <c r="A4402" t="s">
        <v>552</v>
      </c>
      <c r="B4402" t="s">
        <v>75</v>
      </c>
      <c r="C4402" s="1" t="str">
        <f>HYPERLINK("http://продеталь.рф/search.html?article=185447211","185447211")</f>
        <v>185447211</v>
      </c>
      <c r="D4402" t="s">
        <v>4</v>
      </c>
    </row>
    <row r="4403" spans="1:4" outlineLevel="1" x14ac:dyDescent="0.25">
      <c r="A4403" t="s">
        <v>552</v>
      </c>
      <c r="B4403" t="s">
        <v>75</v>
      </c>
      <c r="C4403" s="1" t="str">
        <f>HYPERLINK("http://продеталь.рф/search.html?article=185447001","185447001")</f>
        <v>185447001</v>
      </c>
      <c r="D4403" t="s">
        <v>4</v>
      </c>
    </row>
    <row r="4404" spans="1:4" outlineLevel="1" x14ac:dyDescent="0.25">
      <c r="A4404" t="s">
        <v>552</v>
      </c>
      <c r="B4404" t="s">
        <v>75</v>
      </c>
      <c r="C4404" s="1" t="str">
        <f>HYPERLINK("http://продеталь.рф/search.html?article=185447221","185447221")</f>
        <v>185447221</v>
      </c>
      <c r="D4404" t="s">
        <v>4</v>
      </c>
    </row>
    <row r="4405" spans="1:4" outlineLevel="1" x14ac:dyDescent="0.25">
      <c r="A4405" t="s">
        <v>552</v>
      </c>
      <c r="B4405" t="s">
        <v>13</v>
      </c>
      <c r="C4405" s="1" t="str">
        <f>HYPERLINK("http://продеталь.рф/search.html?article=55092033","55092033")</f>
        <v>55092033</v>
      </c>
      <c r="D4405" t="s">
        <v>49</v>
      </c>
    </row>
    <row r="4406" spans="1:4" x14ac:dyDescent="0.25">
      <c r="A4406" t="s">
        <v>553</v>
      </c>
      <c r="B4406" s="2" t="s">
        <v>553</v>
      </c>
      <c r="C4406" s="2"/>
      <c r="D4406" s="2"/>
    </row>
    <row r="4407" spans="1:4" outlineLevel="1" x14ac:dyDescent="0.25">
      <c r="A4407" t="s">
        <v>553</v>
      </c>
      <c r="B4407" t="s">
        <v>11</v>
      </c>
      <c r="C4407" s="1" t="str">
        <f>HYPERLINK("http://продеталь.рф/search.html?article=027080","027080")</f>
        <v>027080</v>
      </c>
      <c r="D4407" t="s">
        <v>163</v>
      </c>
    </row>
    <row r="4408" spans="1:4" outlineLevel="1" x14ac:dyDescent="0.25">
      <c r="A4408" t="s">
        <v>553</v>
      </c>
      <c r="B4408" t="s">
        <v>15</v>
      </c>
      <c r="C4408" s="1" t="str">
        <f>HYPERLINK("http://продеталь.рф/search.html?article=VOPM1012AL","VOPM1012AL")</f>
        <v>VOPM1012AL</v>
      </c>
      <c r="D4408" t="s">
        <v>6</v>
      </c>
    </row>
    <row r="4409" spans="1:4" outlineLevel="1" x14ac:dyDescent="0.25">
      <c r="A4409" t="s">
        <v>553</v>
      </c>
      <c r="B4409" t="s">
        <v>15</v>
      </c>
      <c r="C4409" s="1" t="str">
        <f>HYPERLINK("http://продеталь.рф/search.html?article=VOPM1017ER","VOPM1017ER")</f>
        <v>VOPM1017ER</v>
      </c>
      <c r="D4409" t="s">
        <v>6</v>
      </c>
    </row>
    <row r="4410" spans="1:4" outlineLevel="1" x14ac:dyDescent="0.25">
      <c r="A4410" t="s">
        <v>553</v>
      </c>
      <c r="B4410" t="s">
        <v>15</v>
      </c>
      <c r="C4410" s="1" t="str">
        <f>HYPERLINK("http://продеталь.рф/search.html?article=VOPM1012MR","VOPM1012MR")</f>
        <v>VOPM1012MR</v>
      </c>
      <c r="D4410" t="s">
        <v>6</v>
      </c>
    </row>
    <row r="4411" spans="1:4" outlineLevel="1" x14ac:dyDescent="0.25">
      <c r="A4411" t="s">
        <v>553</v>
      </c>
      <c r="B4411" t="s">
        <v>83</v>
      </c>
      <c r="C4411" s="1" t="str">
        <f>HYPERLINK("http://продеталь.рф/search.html?article=POP99020CAL","POP99020CAL")</f>
        <v>POP99020CAL</v>
      </c>
      <c r="D4411" t="s">
        <v>6</v>
      </c>
    </row>
    <row r="4412" spans="1:4" outlineLevel="1" x14ac:dyDescent="0.25">
      <c r="A4412" t="s">
        <v>553</v>
      </c>
      <c r="B4412" t="s">
        <v>83</v>
      </c>
      <c r="C4412" s="1" t="str">
        <f>HYPERLINK("http://продеталь.рф/search.html?article=POP99020CAR","POP99020CAR")</f>
        <v>POP99020CAR</v>
      </c>
      <c r="D4412" t="s">
        <v>6</v>
      </c>
    </row>
    <row r="4413" spans="1:4" outlineLevel="1" x14ac:dyDescent="0.25">
      <c r="A4413" t="s">
        <v>553</v>
      </c>
      <c r="B4413" t="s">
        <v>23</v>
      </c>
      <c r="C4413" s="1" t="str">
        <f>HYPERLINK("http://продеталь.рф/search.html?article=110474012","110474012")</f>
        <v>110474012</v>
      </c>
      <c r="D4413" t="s">
        <v>4</v>
      </c>
    </row>
    <row r="4414" spans="1:4" outlineLevel="1" x14ac:dyDescent="0.25">
      <c r="A4414" t="s">
        <v>553</v>
      </c>
      <c r="B4414" t="s">
        <v>23</v>
      </c>
      <c r="C4414" s="1" t="str">
        <f>HYPERLINK("http://продеталь.рф/search.html?article=11B335012B","11B335012B")</f>
        <v>11B335012B</v>
      </c>
      <c r="D4414" t="s">
        <v>4</v>
      </c>
    </row>
    <row r="4415" spans="1:4" outlineLevel="1" x14ac:dyDescent="0.25">
      <c r="A4415" t="s">
        <v>553</v>
      </c>
      <c r="B4415" t="s">
        <v>23</v>
      </c>
      <c r="C4415" s="1" t="str">
        <f>HYPERLINK("http://продеталь.рф/search.html?article=11B336012B","11B336012B")</f>
        <v>11B336012B</v>
      </c>
      <c r="D4415" t="s">
        <v>4</v>
      </c>
    </row>
    <row r="4416" spans="1:4" outlineLevel="1" x14ac:dyDescent="0.25">
      <c r="A4416" t="s">
        <v>553</v>
      </c>
      <c r="B4416" t="s">
        <v>35</v>
      </c>
      <c r="C4416" s="1" t="str">
        <f>HYPERLINK("http://продеталь.рф/search.html?article=310610","310610")</f>
        <v>310610</v>
      </c>
      <c r="D4416" t="s">
        <v>21</v>
      </c>
    </row>
    <row r="4417" spans="1:4" outlineLevel="1" x14ac:dyDescent="0.25">
      <c r="A4417" t="s">
        <v>553</v>
      </c>
      <c r="B4417" t="s">
        <v>1</v>
      </c>
      <c r="C4417" s="1" t="str">
        <f>HYPERLINK("http://продеталь.рф/search.html?article=OP49001500000","OP49001500000")</f>
        <v>OP49001500000</v>
      </c>
      <c r="D4417" t="s">
        <v>9</v>
      </c>
    </row>
    <row r="4418" spans="1:4" outlineLevel="1" x14ac:dyDescent="0.25">
      <c r="A4418" t="s">
        <v>553</v>
      </c>
      <c r="B4418" t="s">
        <v>103</v>
      </c>
      <c r="C4418" s="1" t="str">
        <f>HYPERLINK("http://продеталь.рф/search.html?article=OP99012CALN","OP99012CALN")</f>
        <v>OP99012CALN</v>
      </c>
      <c r="D4418" t="s">
        <v>2</v>
      </c>
    </row>
    <row r="4419" spans="1:4" outlineLevel="1" x14ac:dyDescent="0.25">
      <c r="A4419" t="s">
        <v>553</v>
      </c>
      <c r="B4419" t="s">
        <v>37</v>
      </c>
      <c r="C4419" s="1" t="str">
        <f>HYPERLINK("http://продеталь.рф/search.html?article=703251","703251")</f>
        <v>703251</v>
      </c>
      <c r="D4419" t="s">
        <v>58</v>
      </c>
    </row>
    <row r="4420" spans="1:4" outlineLevel="1" x14ac:dyDescent="0.25">
      <c r="A4420" t="s">
        <v>553</v>
      </c>
      <c r="B4420" t="s">
        <v>37</v>
      </c>
      <c r="C4420" s="1" t="str">
        <f>HYPERLINK("http://продеталь.рф/search.html?article=703252","703252")</f>
        <v>703252</v>
      </c>
      <c r="D4420" t="s">
        <v>58</v>
      </c>
    </row>
    <row r="4421" spans="1:4" outlineLevel="1" x14ac:dyDescent="0.25">
      <c r="A4421" t="s">
        <v>553</v>
      </c>
      <c r="B4421" t="s">
        <v>37</v>
      </c>
      <c r="C4421" s="1" t="str">
        <f>HYPERLINK("http://продеталь.рф/search.html?article=703254","703254")</f>
        <v>703254</v>
      </c>
      <c r="D4421" t="s">
        <v>58</v>
      </c>
    </row>
    <row r="4422" spans="1:4" outlineLevel="1" x14ac:dyDescent="0.25">
      <c r="A4422" t="s">
        <v>553</v>
      </c>
      <c r="B4422" t="s">
        <v>37</v>
      </c>
      <c r="C4422" s="1" t="str">
        <f>HYPERLINK("http://продеталь.рф/search.html?article=703255","703255")</f>
        <v>703255</v>
      </c>
      <c r="D4422" t="s">
        <v>58</v>
      </c>
    </row>
    <row r="4423" spans="1:4" outlineLevel="1" x14ac:dyDescent="0.25">
      <c r="A4423" t="s">
        <v>553</v>
      </c>
      <c r="B4423" t="s">
        <v>3</v>
      </c>
      <c r="C4423" s="1" t="str">
        <f>HYPERLINK("http://продеталь.рф/search.html?article=200389052","200389052")</f>
        <v>200389052</v>
      </c>
      <c r="D4423" t="s">
        <v>4</v>
      </c>
    </row>
    <row r="4424" spans="1:4" outlineLevel="1" x14ac:dyDescent="0.25">
      <c r="A4424" t="s">
        <v>553</v>
      </c>
      <c r="B4424" t="s">
        <v>3</v>
      </c>
      <c r="C4424" s="1" t="str">
        <f>HYPERLINK("http://продеталь.рф/search.html?article=201207052","201207052")</f>
        <v>201207052</v>
      </c>
      <c r="D4424" t="s">
        <v>4</v>
      </c>
    </row>
    <row r="4425" spans="1:4" outlineLevel="1" x14ac:dyDescent="0.25">
      <c r="A4425" t="s">
        <v>553</v>
      </c>
      <c r="B4425" t="s">
        <v>3</v>
      </c>
      <c r="C4425" s="1" t="str">
        <f>HYPERLINK("http://продеталь.рф/search.html?article=201208052","201208052")</f>
        <v>201208052</v>
      </c>
      <c r="D4425" t="s">
        <v>4</v>
      </c>
    </row>
    <row r="4426" spans="1:4" outlineLevel="1" x14ac:dyDescent="0.25">
      <c r="A4426" t="s">
        <v>553</v>
      </c>
      <c r="B4426" t="s">
        <v>5</v>
      </c>
      <c r="C4426" s="1" t="str">
        <f>HYPERLINK("http://продеталь.рф/search.html?article=211458","211458")</f>
        <v>211458</v>
      </c>
      <c r="D4426" t="s">
        <v>21</v>
      </c>
    </row>
    <row r="4427" spans="1:4" outlineLevel="1" x14ac:dyDescent="0.25">
      <c r="A4427" t="s">
        <v>553</v>
      </c>
      <c r="B4427" t="s">
        <v>5</v>
      </c>
      <c r="C4427" s="1" t="str">
        <f>HYPERLINK("http://продеталь.рф/search.html?article=211457A","211457A")</f>
        <v>211457A</v>
      </c>
      <c r="D4427" t="s">
        <v>21</v>
      </c>
    </row>
    <row r="4428" spans="1:4" outlineLevel="1" x14ac:dyDescent="0.25">
      <c r="A4428" t="s">
        <v>553</v>
      </c>
      <c r="B4428" t="s">
        <v>28</v>
      </c>
      <c r="C4428" s="1" t="str">
        <f>HYPERLINK("http://продеталь.рф/search.html?article=RA63028Q","RA63028Q")</f>
        <v>RA63028Q</v>
      </c>
      <c r="D4428" t="s">
        <v>6</v>
      </c>
    </row>
    <row r="4429" spans="1:4" outlineLevel="1" x14ac:dyDescent="0.25">
      <c r="A4429" t="s">
        <v>553</v>
      </c>
      <c r="B4429" t="s">
        <v>8</v>
      </c>
      <c r="C4429" s="1" t="str">
        <f>HYPERLINK("http://продеталь.рф/search.html?article=RC94807","RC94807")</f>
        <v>RC94807</v>
      </c>
      <c r="D4429" t="s">
        <v>6</v>
      </c>
    </row>
    <row r="4430" spans="1:4" outlineLevel="1" x14ac:dyDescent="0.25">
      <c r="A4430" t="s">
        <v>553</v>
      </c>
      <c r="B4430" t="s">
        <v>263</v>
      </c>
      <c r="C4430" s="1" t="str">
        <f>HYPERLINK("http://продеталь.рф/search.html?article=OP30015AL","OP30015AL")</f>
        <v>OP30015AL</v>
      </c>
      <c r="D4430" t="s">
        <v>2</v>
      </c>
    </row>
    <row r="4431" spans="1:4" outlineLevel="1" x14ac:dyDescent="0.25">
      <c r="A4431" t="s">
        <v>553</v>
      </c>
      <c r="B4431" t="s">
        <v>263</v>
      </c>
      <c r="C4431" s="1" t="str">
        <f>HYPERLINK("http://продеталь.рф/search.html?article=OP30015AR","OP30015AR")</f>
        <v>OP30015AR</v>
      </c>
      <c r="D4431" t="s">
        <v>2</v>
      </c>
    </row>
    <row r="4432" spans="1:4" outlineLevel="1" x14ac:dyDescent="0.25">
      <c r="A4432" t="s">
        <v>553</v>
      </c>
      <c r="B4432" t="s">
        <v>30</v>
      </c>
      <c r="C4432" s="1" t="str">
        <f>HYPERLINK("http://продеталь.рф/search.html?article=OP99013CALN","OP99013CALN")</f>
        <v>OP99013CALN</v>
      </c>
      <c r="D4432" t="s">
        <v>2</v>
      </c>
    </row>
    <row r="4433" spans="1:4" outlineLevel="1" x14ac:dyDescent="0.25">
      <c r="A4433" t="s">
        <v>553</v>
      </c>
      <c r="B4433" t="s">
        <v>30</v>
      </c>
      <c r="C4433" s="1" t="str">
        <f>HYPERLINK("http://продеталь.рф/search.html?article=OP99013CAR","OP99013CAR")</f>
        <v>OP99013CAR</v>
      </c>
      <c r="D4433" t="s">
        <v>2</v>
      </c>
    </row>
    <row r="4434" spans="1:4" outlineLevel="1" x14ac:dyDescent="0.25">
      <c r="A4434" t="s">
        <v>553</v>
      </c>
      <c r="B4434" t="s">
        <v>30</v>
      </c>
      <c r="C4434" s="1" t="str">
        <f>HYPERLINK("http://продеталь.рф/search.html?article=OP99015CARN","OP99015CARN")</f>
        <v>OP99015CARN</v>
      </c>
      <c r="D4434" t="s">
        <v>2</v>
      </c>
    </row>
    <row r="4435" spans="1:4" outlineLevel="1" x14ac:dyDescent="0.25">
      <c r="A4435" t="s">
        <v>553</v>
      </c>
      <c r="B4435" t="s">
        <v>40</v>
      </c>
      <c r="C4435" s="1" t="str">
        <f>HYPERLINK("http://продеталь.рф/search.html?article=3191034","3191034")</f>
        <v>3191034</v>
      </c>
      <c r="D4435" t="s">
        <v>2</v>
      </c>
    </row>
    <row r="4436" spans="1:4" outlineLevel="1" x14ac:dyDescent="0.25">
      <c r="A4436" t="s">
        <v>553</v>
      </c>
      <c r="B4436" t="s">
        <v>40</v>
      </c>
      <c r="C4436" s="1" t="str">
        <f>HYPERLINK("http://продеталь.рф/search.html?article=POP99039GA","POP99039GA")</f>
        <v>POP99039GA</v>
      </c>
      <c r="D4436" t="s">
        <v>6</v>
      </c>
    </row>
    <row r="4437" spans="1:4" outlineLevel="1" x14ac:dyDescent="0.25">
      <c r="A4437" t="s">
        <v>553</v>
      </c>
      <c r="B4437" t="s">
        <v>12</v>
      </c>
      <c r="C4437" s="1" t="str">
        <f>HYPERLINK("http://продеталь.рф/search.html?article=POP07026GA","POP07026GA")</f>
        <v>POP07026GA</v>
      </c>
      <c r="D4437" t="s">
        <v>6</v>
      </c>
    </row>
    <row r="4438" spans="1:4" outlineLevel="1" x14ac:dyDescent="0.25">
      <c r="A4438" t="s">
        <v>553</v>
      </c>
      <c r="B4438" t="s">
        <v>71</v>
      </c>
      <c r="C4438" s="1" t="str">
        <f>HYPERLINK("http://продеталь.рф/search.html?article=101540","101540")</f>
        <v>101540</v>
      </c>
      <c r="D4438" t="s">
        <v>165</v>
      </c>
    </row>
    <row r="4439" spans="1:4" outlineLevel="1" x14ac:dyDescent="0.25">
      <c r="A4439" t="s">
        <v>553</v>
      </c>
      <c r="B4439" t="s">
        <v>71</v>
      </c>
      <c r="C4439" s="1" t="str">
        <f>HYPERLINK("http://продеталь.рф/search.html?article=101539","101539")</f>
        <v>101539</v>
      </c>
      <c r="D4439" t="s">
        <v>165</v>
      </c>
    </row>
    <row r="4440" spans="1:4" outlineLevel="1" x14ac:dyDescent="0.25">
      <c r="A4440" t="s">
        <v>553</v>
      </c>
      <c r="B4440" t="s">
        <v>71</v>
      </c>
      <c r="C4440" s="1" t="str">
        <f>HYPERLINK("http://продеталь.рф/search.html?article=101205300","101205300")</f>
        <v>101205300</v>
      </c>
      <c r="D4440" t="s">
        <v>165</v>
      </c>
    </row>
    <row r="4441" spans="1:4" outlineLevel="1" x14ac:dyDescent="0.25">
      <c r="A4441" t="s">
        <v>553</v>
      </c>
      <c r="B4441" t="s">
        <v>71</v>
      </c>
      <c r="C4441" s="1" t="str">
        <f>HYPERLINK("http://продеталь.рф/search.html?article=101205200","101205200")</f>
        <v>101205200</v>
      </c>
      <c r="D4441" t="s">
        <v>165</v>
      </c>
    </row>
    <row r="4442" spans="1:4" outlineLevel="1" x14ac:dyDescent="0.25">
      <c r="A4442" t="s">
        <v>553</v>
      </c>
      <c r="B4442" t="s">
        <v>75</v>
      </c>
      <c r="C4442" s="1" t="str">
        <f>HYPERLINK("http://продеталь.рф/search.html?article=180232112","180232112")</f>
        <v>180232112</v>
      </c>
      <c r="D4442" t="s">
        <v>4</v>
      </c>
    </row>
    <row r="4443" spans="1:4" outlineLevel="1" x14ac:dyDescent="0.25">
      <c r="A4443" t="s">
        <v>553</v>
      </c>
      <c r="B4443" t="s">
        <v>75</v>
      </c>
      <c r="C4443" s="1" t="str">
        <f>HYPERLINK("http://продеталь.рф/search.html?article=18A232012B","18A232012B")</f>
        <v>18A232012B</v>
      </c>
      <c r="D4443" t="s">
        <v>4</v>
      </c>
    </row>
    <row r="4444" spans="1:4" outlineLevel="1" x14ac:dyDescent="0.25">
      <c r="A4444" t="s">
        <v>553</v>
      </c>
      <c r="B4444" t="s">
        <v>13</v>
      </c>
      <c r="C4444" s="1" t="str">
        <f>HYPERLINK("http://продеталь.рф/search.html?article=POP44015A","POP44015A")</f>
        <v>POP44015A</v>
      </c>
      <c r="D4444" t="s">
        <v>6</v>
      </c>
    </row>
    <row r="4445" spans="1:4" x14ac:dyDescent="0.25">
      <c r="A4445" t="s">
        <v>554</v>
      </c>
      <c r="B4445" s="2" t="s">
        <v>554</v>
      </c>
      <c r="C4445" s="2"/>
      <c r="D4445" s="2"/>
    </row>
    <row r="4446" spans="1:4" outlineLevel="1" x14ac:dyDescent="0.25">
      <c r="A4446" t="s">
        <v>554</v>
      </c>
      <c r="B4446" t="s">
        <v>15</v>
      </c>
      <c r="C4446" s="1" t="str">
        <f>HYPERLINK("http://продеталь.рф/search.html?article=OP491941E0L00","OP491941E0L00")</f>
        <v>OP491941E0L00</v>
      </c>
      <c r="D4446" t="s">
        <v>9</v>
      </c>
    </row>
    <row r="4447" spans="1:4" outlineLevel="1" x14ac:dyDescent="0.25">
      <c r="A4447" t="s">
        <v>554</v>
      </c>
      <c r="B4447" t="s">
        <v>15</v>
      </c>
      <c r="C4447" s="1" t="str">
        <f>HYPERLINK("http://продеталь.рф/search.html?article=OP491941E0R00","OP491941E0R00")</f>
        <v>OP491941E0R00</v>
      </c>
      <c r="D4447" t="s">
        <v>9</v>
      </c>
    </row>
    <row r="4448" spans="1:4" outlineLevel="1" x14ac:dyDescent="0.25">
      <c r="A4448" t="s">
        <v>554</v>
      </c>
      <c r="B4448" t="s">
        <v>79</v>
      </c>
      <c r="C4448" s="1" t="str">
        <f>HYPERLINK("http://продеталь.рф/search.html?article=CV67039A","CV67039A")</f>
        <v>CV67039A</v>
      </c>
      <c r="D4448" t="s">
        <v>2</v>
      </c>
    </row>
    <row r="4449" spans="1:4" outlineLevel="1" x14ac:dyDescent="0.25">
      <c r="A4449" t="s">
        <v>554</v>
      </c>
      <c r="B4449" t="s">
        <v>84</v>
      </c>
      <c r="C4449" s="1" t="str">
        <f>HYPERLINK("http://продеталь.рф/search.html?article=POP43016AL","POP43016AL")</f>
        <v>POP43016AL</v>
      </c>
      <c r="D4449" t="s">
        <v>6</v>
      </c>
    </row>
    <row r="4450" spans="1:4" outlineLevel="1" x14ac:dyDescent="0.25">
      <c r="A4450" t="s">
        <v>554</v>
      </c>
      <c r="B4450" t="s">
        <v>84</v>
      </c>
      <c r="C4450" s="1" t="str">
        <f>HYPERLINK("http://продеталь.рф/search.html?article=POP43018A","POP43018A")</f>
        <v>POP43018A</v>
      </c>
      <c r="D4450" t="s">
        <v>6</v>
      </c>
    </row>
    <row r="4451" spans="1:4" outlineLevel="1" x14ac:dyDescent="0.25">
      <c r="A4451" t="s">
        <v>554</v>
      </c>
      <c r="B4451" t="s">
        <v>24</v>
      </c>
      <c r="C4451" s="1" t="str">
        <f>HYPERLINK("http://продеталь.рф/search.html?article=OP10044AR","OP10044AR")</f>
        <v>OP10044AR</v>
      </c>
      <c r="D4451" t="s">
        <v>2</v>
      </c>
    </row>
    <row r="4452" spans="1:4" outlineLevel="1" x14ac:dyDescent="0.25">
      <c r="A4452" t="s">
        <v>554</v>
      </c>
      <c r="B4452" t="s">
        <v>66</v>
      </c>
      <c r="C4452" s="1" t="str">
        <f>HYPERLINK("http://продеталь.рф/search.html?article=BK119","BK119")</f>
        <v>BK119</v>
      </c>
      <c r="D4452" t="s">
        <v>6</v>
      </c>
    </row>
    <row r="4453" spans="1:4" outlineLevel="1" x14ac:dyDescent="0.25">
      <c r="A4453" t="s">
        <v>554</v>
      </c>
      <c r="B4453" t="s">
        <v>27</v>
      </c>
      <c r="C4453" s="1" t="str">
        <f>HYPERLINK("http://продеталь.рф/search.html?article=OP30024AL","OP30024AL")</f>
        <v>OP30024AL</v>
      </c>
      <c r="D4453" t="s">
        <v>2</v>
      </c>
    </row>
    <row r="4454" spans="1:4" outlineLevel="1" x14ac:dyDescent="0.25">
      <c r="A4454" t="s">
        <v>554</v>
      </c>
      <c r="B4454" t="s">
        <v>27</v>
      </c>
      <c r="C4454" s="1" t="str">
        <f>HYPERLINK("http://продеталь.рф/search.html?article=OP30024AR","OP30024AR")</f>
        <v>OP30024AR</v>
      </c>
      <c r="D4454" t="s">
        <v>2</v>
      </c>
    </row>
    <row r="4455" spans="1:4" outlineLevel="1" x14ac:dyDescent="0.25">
      <c r="A4455" t="s">
        <v>554</v>
      </c>
      <c r="B4455" t="s">
        <v>5</v>
      </c>
      <c r="C4455" s="1" t="str">
        <f>HYPERLINK("http://продеталь.рф/search.html?article=211475A","211475A")</f>
        <v>211475A</v>
      </c>
      <c r="D4455" t="s">
        <v>21</v>
      </c>
    </row>
    <row r="4456" spans="1:4" outlineLevel="1" x14ac:dyDescent="0.25">
      <c r="A4456" t="s">
        <v>554</v>
      </c>
      <c r="B4456" t="s">
        <v>5</v>
      </c>
      <c r="C4456" s="1" t="str">
        <f>HYPERLINK("http://продеталь.рф/search.html?article=211476A","211476A")</f>
        <v>211476A</v>
      </c>
      <c r="D4456" t="s">
        <v>21</v>
      </c>
    </row>
    <row r="4457" spans="1:4" outlineLevel="1" x14ac:dyDescent="0.25">
      <c r="A4457" t="s">
        <v>554</v>
      </c>
      <c r="B4457" t="s">
        <v>19</v>
      </c>
      <c r="C4457" s="1" t="str">
        <f>HYPERLINK("http://продеталь.рф/search.html?article=19A922012B","19A922012B")</f>
        <v>19A922012B</v>
      </c>
      <c r="D4457" t="s">
        <v>4</v>
      </c>
    </row>
    <row r="4458" spans="1:4" outlineLevel="1" x14ac:dyDescent="0.25">
      <c r="A4458" t="s">
        <v>554</v>
      </c>
      <c r="B4458" t="s">
        <v>19</v>
      </c>
      <c r="C4458" s="1" t="str">
        <f>HYPERLINK("http://продеталь.рф/search.html?article=19A921012B","19A921012B")</f>
        <v>19A921012B</v>
      </c>
      <c r="D4458" t="s">
        <v>4</v>
      </c>
    </row>
    <row r="4459" spans="1:4" outlineLevel="1" x14ac:dyDescent="0.25">
      <c r="A4459" t="s">
        <v>554</v>
      </c>
      <c r="B4459" t="s">
        <v>19</v>
      </c>
      <c r="C4459" s="1" t="str">
        <f>HYPERLINK("http://продеталь.рф/search.html?article=19A922A12B","19A922A12B")</f>
        <v>19A922A12B</v>
      </c>
      <c r="D4459" t="s">
        <v>4</v>
      </c>
    </row>
    <row r="4460" spans="1:4" x14ac:dyDescent="0.25">
      <c r="A4460" t="s">
        <v>555</v>
      </c>
      <c r="B4460" s="2" t="s">
        <v>555</v>
      </c>
      <c r="C4460" s="2"/>
      <c r="D4460" s="2"/>
    </row>
    <row r="4461" spans="1:4" outlineLevel="1" x14ac:dyDescent="0.25">
      <c r="A4461" t="s">
        <v>555</v>
      </c>
      <c r="B4461" t="s">
        <v>11</v>
      </c>
      <c r="C4461" s="1" t="str">
        <f>HYPERLINK("http://продеталь.рф/search.html?article=27032","27032")</f>
        <v>27032</v>
      </c>
      <c r="D4461" t="s">
        <v>163</v>
      </c>
    </row>
    <row r="4462" spans="1:4" outlineLevel="1" x14ac:dyDescent="0.25">
      <c r="A4462" t="s">
        <v>555</v>
      </c>
      <c r="B4462" t="s">
        <v>11</v>
      </c>
      <c r="C4462" s="1" t="str">
        <f>HYPERLINK("http://продеталь.рф/search.html?article=27012","27012")</f>
        <v>27012</v>
      </c>
      <c r="D4462" t="s">
        <v>163</v>
      </c>
    </row>
    <row r="4463" spans="1:4" outlineLevel="1" x14ac:dyDescent="0.25">
      <c r="A4463" t="s">
        <v>555</v>
      </c>
      <c r="B4463" t="s">
        <v>15</v>
      </c>
      <c r="C4463" s="1" t="str">
        <f>HYPERLINK("http://продеталь.рф/search.html?article=3250022","3250022")</f>
        <v>3250022</v>
      </c>
      <c r="D4463" t="s">
        <v>4</v>
      </c>
    </row>
    <row r="4464" spans="1:4" outlineLevel="1" x14ac:dyDescent="0.25">
      <c r="A4464" t="s">
        <v>555</v>
      </c>
      <c r="B4464" t="s">
        <v>15</v>
      </c>
      <c r="C4464" s="1" t="str">
        <f>HYPERLINK("http://продеталь.рф/search.html?article=3250021","3250021")</f>
        <v>3250021</v>
      </c>
      <c r="D4464" t="s">
        <v>4</v>
      </c>
    </row>
    <row r="4465" spans="1:4" outlineLevel="1" x14ac:dyDescent="0.25">
      <c r="A4465" t="s">
        <v>555</v>
      </c>
      <c r="B4465" t="s">
        <v>1</v>
      </c>
      <c r="C4465" s="1" t="str">
        <f>HYPERLINK("http://продеталь.рф/search.html?article=OP070150","OP070150")</f>
        <v>OP070150</v>
      </c>
      <c r="D4465" t="s">
        <v>9</v>
      </c>
    </row>
    <row r="4466" spans="1:4" outlineLevel="1" x14ac:dyDescent="0.25">
      <c r="A4466" t="s">
        <v>555</v>
      </c>
      <c r="B4466" t="s">
        <v>24</v>
      </c>
      <c r="C4466" s="1" t="str">
        <f>HYPERLINK("http://продеталь.рф/search.html?article=55062005090","55062005090")</f>
        <v>55062005090</v>
      </c>
      <c r="D4466" t="s">
        <v>49</v>
      </c>
    </row>
    <row r="4467" spans="1:4" outlineLevel="1" x14ac:dyDescent="0.25">
      <c r="A4467" t="s">
        <v>555</v>
      </c>
      <c r="B4467" t="s">
        <v>24</v>
      </c>
      <c r="C4467" s="1" t="str">
        <f>HYPERLINK("http://продеталь.рф/search.html?article=55062004090","55062004090")</f>
        <v>55062004090</v>
      </c>
      <c r="D4467" t="s">
        <v>49</v>
      </c>
    </row>
    <row r="4468" spans="1:4" outlineLevel="1" x14ac:dyDescent="0.25">
      <c r="A4468" t="s">
        <v>555</v>
      </c>
      <c r="B4468" t="s">
        <v>556</v>
      </c>
      <c r="C4468" s="1" t="str">
        <f>HYPERLINK("http://продеталь.рф/search.html?article=MC0317","MC0317")</f>
        <v>MC0317</v>
      </c>
      <c r="D4468" t="s">
        <v>2</v>
      </c>
    </row>
    <row r="4469" spans="1:4" outlineLevel="1" x14ac:dyDescent="0.25">
      <c r="A4469" t="s">
        <v>555</v>
      </c>
      <c r="B4469" t="s">
        <v>27</v>
      </c>
      <c r="C4469" s="1" t="str">
        <f>HYPERLINK("http://продеталь.рф/search.html?article=OP070090","OP070090")</f>
        <v>OP070090</v>
      </c>
      <c r="D4469" t="s">
        <v>9</v>
      </c>
    </row>
    <row r="4470" spans="1:4" outlineLevel="1" x14ac:dyDescent="0.25">
      <c r="A4470" t="s">
        <v>555</v>
      </c>
      <c r="B4470" t="s">
        <v>3</v>
      </c>
      <c r="C4470" s="1" t="str">
        <f>HYPERLINK("http://продеталь.рф/search.html?article=203203852","203203852")</f>
        <v>203203852</v>
      </c>
      <c r="D4470" t="s">
        <v>4</v>
      </c>
    </row>
    <row r="4471" spans="1:4" outlineLevel="1" x14ac:dyDescent="0.25">
      <c r="A4471" t="s">
        <v>555</v>
      </c>
      <c r="B4471" t="s">
        <v>3</v>
      </c>
      <c r="C4471" s="1" t="str">
        <f>HYPERLINK("http://продеталь.рф/search.html?article=ZOP1102KD","ZOP1102KD")</f>
        <v>ZOP1102KD</v>
      </c>
      <c r="D4471" t="s">
        <v>6</v>
      </c>
    </row>
    <row r="4472" spans="1:4" outlineLevel="1" x14ac:dyDescent="0.25">
      <c r="A4472" t="s">
        <v>555</v>
      </c>
      <c r="B4472" t="s">
        <v>5</v>
      </c>
      <c r="C4472" s="1" t="str">
        <f>HYPERLINK("http://продеталь.рф/search.html?article=OP07016L2","OP07016L2")</f>
        <v>OP07016L2</v>
      </c>
      <c r="D4472" t="s">
        <v>9</v>
      </c>
    </row>
    <row r="4473" spans="1:4" outlineLevel="1" x14ac:dyDescent="0.25">
      <c r="A4473" t="s">
        <v>555</v>
      </c>
      <c r="B4473" t="s">
        <v>5</v>
      </c>
      <c r="C4473" s="1" t="str">
        <f>HYPERLINK("http://продеталь.рф/search.html?article=OP07016L1","OP07016L1")</f>
        <v>OP07016L1</v>
      </c>
      <c r="D4473" t="s">
        <v>9</v>
      </c>
    </row>
    <row r="4474" spans="1:4" outlineLevel="1" x14ac:dyDescent="0.25">
      <c r="A4474" t="s">
        <v>555</v>
      </c>
      <c r="B4474" t="s">
        <v>28</v>
      </c>
      <c r="C4474" s="1" t="str">
        <f>HYPERLINK("http://продеталь.рф/search.html?article=RA63286","RA63286")</f>
        <v>RA63286</v>
      </c>
      <c r="D4474" t="s">
        <v>6</v>
      </c>
    </row>
    <row r="4475" spans="1:4" outlineLevel="1" x14ac:dyDescent="0.25">
      <c r="A4475" t="s">
        <v>555</v>
      </c>
      <c r="B4475" t="s">
        <v>12</v>
      </c>
      <c r="C4475" s="1" t="str">
        <f>HYPERLINK("http://продеталь.рф/search.html?article=OP0292001","OP0292001")</f>
        <v>OP0292001</v>
      </c>
      <c r="D4475" t="s">
        <v>447</v>
      </c>
    </row>
    <row r="4476" spans="1:4" outlineLevel="1" x14ac:dyDescent="0.25">
      <c r="A4476" t="s">
        <v>555</v>
      </c>
      <c r="B4476" t="s">
        <v>13</v>
      </c>
      <c r="C4476" s="1" t="str">
        <f>HYPERLINK("http://продеталь.рф/search.html?article=OP44005A","OP44005A")</f>
        <v>OP44005A</v>
      </c>
      <c r="D4476" t="s">
        <v>2</v>
      </c>
    </row>
    <row r="4477" spans="1:4" x14ac:dyDescent="0.25">
      <c r="A4477" t="s">
        <v>557</v>
      </c>
      <c r="B4477" s="2" t="s">
        <v>557</v>
      </c>
      <c r="C4477" s="2"/>
      <c r="D4477" s="2"/>
    </row>
    <row r="4478" spans="1:4" outlineLevel="1" x14ac:dyDescent="0.25">
      <c r="A4478" t="s">
        <v>557</v>
      </c>
      <c r="B4478" t="s">
        <v>11</v>
      </c>
      <c r="C4478" s="1" t="str">
        <f>HYPERLINK("http://продеталь.рф/search.html?article=OP04025BA","OP04025BA")</f>
        <v>OP04025BA</v>
      </c>
      <c r="D4478" t="s">
        <v>2</v>
      </c>
    </row>
    <row r="4479" spans="1:4" outlineLevel="1" x14ac:dyDescent="0.25">
      <c r="A4479" t="s">
        <v>557</v>
      </c>
      <c r="B4479" t="s">
        <v>15</v>
      </c>
      <c r="C4479" s="1" t="str">
        <f>HYPERLINK("http://продеталь.рф/search.html?article=3250026","3250026")</f>
        <v>3250026</v>
      </c>
      <c r="D4479" t="s">
        <v>4</v>
      </c>
    </row>
    <row r="4480" spans="1:4" outlineLevel="1" x14ac:dyDescent="0.25">
      <c r="A4480" t="s">
        <v>557</v>
      </c>
      <c r="B4480" t="s">
        <v>15</v>
      </c>
      <c r="C4480" s="1" t="str">
        <f>HYPERLINK("http://продеталь.рф/search.html?article=3250025","3250025")</f>
        <v>3250025</v>
      </c>
      <c r="D4480" t="s">
        <v>4</v>
      </c>
    </row>
    <row r="4481" spans="1:4" outlineLevel="1" x14ac:dyDescent="0.25">
      <c r="A4481" t="s">
        <v>557</v>
      </c>
      <c r="B4481" t="s">
        <v>15</v>
      </c>
      <c r="C4481" s="1" t="str">
        <f>HYPERLINK("http://продеталь.рф/search.html?article=3250029","3250029")</f>
        <v>3250029</v>
      </c>
      <c r="D4481" t="s">
        <v>4</v>
      </c>
    </row>
    <row r="4482" spans="1:4" outlineLevel="1" x14ac:dyDescent="0.25">
      <c r="A4482" t="s">
        <v>557</v>
      </c>
      <c r="B4482" t="s">
        <v>24</v>
      </c>
      <c r="C4482" s="1" t="str">
        <f>HYPERLINK("http://продеталь.рф/search.html?article=OP10020AR","OP10020AR")</f>
        <v>OP10020AR</v>
      </c>
      <c r="D4482" t="s">
        <v>2</v>
      </c>
    </row>
    <row r="4483" spans="1:4" outlineLevel="1" x14ac:dyDescent="0.25">
      <c r="A4483" t="s">
        <v>557</v>
      </c>
      <c r="B4483" t="s">
        <v>103</v>
      </c>
      <c r="C4483" s="1" t="str">
        <f>HYPERLINK("http://продеталь.рф/search.html?article=OP99011CAL","OP99011CAL")</f>
        <v>OP99011CAL</v>
      </c>
      <c r="D4483" t="s">
        <v>2</v>
      </c>
    </row>
    <row r="4484" spans="1:4" outlineLevel="1" x14ac:dyDescent="0.25">
      <c r="A4484" t="s">
        <v>557</v>
      </c>
      <c r="B4484" t="s">
        <v>103</v>
      </c>
      <c r="C4484" s="1" t="str">
        <f>HYPERLINK("http://продеталь.рф/search.html?article=OP99011CAR","OP99011CAR")</f>
        <v>OP99011CAR</v>
      </c>
      <c r="D4484" t="s">
        <v>2</v>
      </c>
    </row>
    <row r="4485" spans="1:4" outlineLevel="1" x14ac:dyDescent="0.25">
      <c r="A4485" t="s">
        <v>557</v>
      </c>
      <c r="B4485" t="s">
        <v>37</v>
      </c>
      <c r="C4485" s="1" t="str">
        <f>HYPERLINK("http://продеталь.рф/search.html?article=728255","728255")</f>
        <v>728255</v>
      </c>
      <c r="D4485" t="s">
        <v>58</v>
      </c>
    </row>
    <row r="4486" spans="1:4" outlineLevel="1" x14ac:dyDescent="0.25">
      <c r="A4486" t="s">
        <v>557</v>
      </c>
      <c r="B4486" t="s">
        <v>37</v>
      </c>
      <c r="C4486" s="1" t="str">
        <f>HYPERLINK("http://продеталь.рф/search.html?article=0728254","0728254")</f>
        <v>0728254</v>
      </c>
      <c r="D4486" t="s">
        <v>58</v>
      </c>
    </row>
    <row r="4487" spans="1:4" outlineLevel="1" x14ac:dyDescent="0.25">
      <c r="A4487" t="s">
        <v>557</v>
      </c>
      <c r="B4487" t="s">
        <v>38</v>
      </c>
      <c r="C4487" s="1" t="str">
        <f>HYPERLINK("http://продеталь.рф/search.html?article=728218","728218")</f>
        <v>728218</v>
      </c>
      <c r="D4487" t="s">
        <v>58</v>
      </c>
    </row>
    <row r="4488" spans="1:4" outlineLevel="1" x14ac:dyDescent="0.25">
      <c r="A4488" t="s">
        <v>557</v>
      </c>
      <c r="B4488" t="s">
        <v>38</v>
      </c>
      <c r="C4488" s="1" t="str">
        <f>HYPERLINK("http://продеталь.рф/search.html?article=728219","728219")</f>
        <v>728219</v>
      </c>
      <c r="D4488" t="s">
        <v>58</v>
      </c>
    </row>
    <row r="4489" spans="1:4" outlineLevel="1" x14ac:dyDescent="0.25">
      <c r="A4489" t="s">
        <v>557</v>
      </c>
      <c r="B4489" t="s">
        <v>26</v>
      </c>
      <c r="C4489" s="1" t="str">
        <f>HYPERLINK("http://продеталь.рф/search.html?article=OP04031MAL","OP04031MAL")</f>
        <v>OP04031MAL</v>
      </c>
      <c r="D4489" t="s">
        <v>2</v>
      </c>
    </row>
    <row r="4490" spans="1:4" outlineLevel="1" x14ac:dyDescent="0.25">
      <c r="A4490" t="s">
        <v>557</v>
      </c>
      <c r="B4490" t="s">
        <v>3</v>
      </c>
      <c r="C4490" s="1" t="str">
        <f>HYPERLINK("http://продеталь.рф/search.html?article=206066052","206066052")</f>
        <v>206066052</v>
      </c>
      <c r="D4490" t="s">
        <v>4</v>
      </c>
    </row>
    <row r="4491" spans="1:4" outlineLevel="1" x14ac:dyDescent="0.25">
      <c r="A4491" t="s">
        <v>557</v>
      </c>
      <c r="B4491" t="s">
        <v>3</v>
      </c>
      <c r="C4491" s="1" t="str">
        <f>HYPERLINK("http://продеталь.рф/search.html?article=206065052","206065052")</f>
        <v>206065052</v>
      </c>
      <c r="D4491" t="s">
        <v>4</v>
      </c>
    </row>
    <row r="4492" spans="1:4" outlineLevel="1" x14ac:dyDescent="0.25">
      <c r="A4492" t="s">
        <v>557</v>
      </c>
      <c r="B4492" t="s">
        <v>3</v>
      </c>
      <c r="C4492" s="1" t="str">
        <f>HYPERLINK("http://продеталь.рф/search.html?article=206066252","206066252")</f>
        <v>206066252</v>
      </c>
      <c r="D4492" t="s">
        <v>4</v>
      </c>
    </row>
    <row r="4493" spans="1:4" outlineLevel="1" x14ac:dyDescent="0.25">
      <c r="A4493" t="s">
        <v>557</v>
      </c>
      <c r="B4493" t="s">
        <v>3</v>
      </c>
      <c r="C4493" s="1" t="str">
        <f>HYPERLINK("http://продеталь.рф/search.html?article=206065252","206065252")</f>
        <v>206065252</v>
      </c>
      <c r="D4493" t="s">
        <v>4</v>
      </c>
    </row>
    <row r="4494" spans="1:4" outlineLevel="1" x14ac:dyDescent="0.25">
      <c r="A4494" t="s">
        <v>557</v>
      </c>
      <c r="B4494" t="s">
        <v>3</v>
      </c>
      <c r="C4494" s="1" t="str">
        <f>HYPERLINK("http://продеталь.рф/search.html?article=200424052","200424052")</f>
        <v>200424052</v>
      </c>
      <c r="D4494" t="s">
        <v>4</v>
      </c>
    </row>
    <row r="4495" spans="1:4" outlineLevel="1" x14ac:dyDescent="0.25">
      <c r="A4495" t="s">
        <v>557</v>
      </c>
      <c r="B4495" t="s">
        <v>3</v>
      </c>
      <c r="C4495" s="1" t="str">
        <f>HYPERLINK("http://продеталь.рф/search.html?article=200423052","200423052")</f>
        <v>200423052</v>
      </c>
      <c r="D4495" t="s">
        <v>4</v>
      </c>
    </row>
    <row r="4496" spans="1:4" outlineLevel="1" x14ac:dyDescent="0.25">
      <c r="A4496" t="s">
        <v>557</v>
      </c>
      <c r="B4496" t="s">
        <v>5</v>
      </c>
      <c r="C4496" s="1" t="str">
        <f>HYPERLINK("http://продеталь.рф/search.html?article=OP08016L1","OP08016L1")</f>
        <v>OP08016L1</v>
      </c>
      <c r="D4496" t="s">
        <v>9</v>
      </c>
    </row>
    <row r="4497" spans="1:4" outlineLevel="1" x14ac:dyDescent="0.25">
      <c r="A4497" t="s">
        <v>557</v>
      </c>
      <c r="B4497" t="s">
        <v>19</v>
      </c>
      <c r="C4497" s="1" t="str">
        <f>HYPERLINK("http://продеталь.рф/search.html?article=190088052","190088052")</f>
        <v>190088052</v>
      </c>
      <c r="D4497" t="s">
        <v>4</v>
      </c>
    </row>
    <row r="4498" spans="1:4" outlineLevel="1" x14ac:dyDescent="0.25">
      <c r="A4498" t="s">
        <v>557</v>
      </c>
      <c r="B4498" t="s">
        <v>19</v>
      </c>
      <c r="C4498" s="1" t="str">
        <f>HYPERLINK("http://продеталь.рф/search.html?article=190148052","190148052")</f>
        <v>190148052</v>
      </c>
      <c r="D4498" t="s">
        <v>4</v>
      </c>
    </row>
    <row r="4499" spans="1:4" outlineLevel="1" x14ac:dyDescent="0.25">
      <c r="A4499" t="s">
        <v>557</v>
      </c>
      <c r="B4499" t="s">
        <v>19</v>
      </c>
      <c r="C4499" s="1" t="str">
        <f>HYPERLINK("http://продеталь.рф/search.html?article=190147052","190147052")</f>
        <v>190147052</v>
      </c>
      <c r="D4499" t="s">
        <v>4</v>
      </c>
    </row>
    <row r="4500" spans="1:4" outlineLevel="1" x14ac:dyDescent="0.25">
      <c r="A4500" t="s">
        <v>557</v>
      </c>
      <c r="B4500" t="s">
        <v>19</v>
      </c>
      <c r="C4500" s="1" t="str">
        <f>HYPERLINK("http://продеталь.рф/search.html?article=190150012","190150012")</f>
        <v>190150012</v>
      </c>
      <c r="D4500" t="s">
        <v>4</v>
      </c>
    </row>
    <row r="4501" spans="1:4" outlineLevel="1" x14ac:dyDescent="0.25">
      <c r="A4501" t="s">
        <v>557</v>
      </c>
      <c r="B4501" t="s">
        <v>19</v>
      </c>
      <c r="C4501" s="1" t="str">
        <f>HYPERLINK("http://продеталь.рф/search.html?article=190149012","190149012")</f>
        <v>190149012</v>
      </c>
      <c r="D4501" t="s">
        <v>4</v>
      </c>
    </row>
    <row r="4502" spans="1:4" outlineLevel="1" x14ac:dyDescent="0.25">
      <c r="A4502" t="s">
        <v>557</v>
      </c>
      <c r="B4502" t="s">
        <v>28</v>
      </c>
      <c r="C4502" s="1" t="str">
        <f>HYPERLINK("http://продеталь.рф/search.html?article=353008","353008")</f>
        <v>353008</v>
      </c>
      <c r="D4502" t="s">
        <v>135</v>
      </c>
    </row>
    <row r="4503" spans="1:4" outlineLevel="1" x14ac:dyDescent="0.25">
      <c r="A4503" t="s">
        <v>557</v>
      </c>
      <c r="B4503" t="s">
        <v>28</v>
      </c>
      <c r="C4503" s="1" t="str">
        <f>HYPERLINK("http://продеталь.рф/search.html?article=RA63007Q","RA63007Q")</f>
        <v>RA63007Q</v>
      </c>
      <c r="D4503" t="s">
        <v>6</v>
      </c>
    </row>
    <row r="4504" spans="1:4" outlineLevel="1" x14ac:dyDescent="0.25">
      <c r="A4504" t="s">
        <v>557</v>
      </c>
      <c r="B4504" t="s">
        <v>55</v>
      </c>
      <c r="C4504" s="1" t="str">
        <f>HYPERLINK("http://продеталь.рф/search.html?article=OP07022MA","OP07022MA")</f>
        <v>OP07022MA</v>
      </c>
      <c r="D4504" t="s">
        <v>2</v>
      </c>
    </row>
    <row r="4505" spans="1:4" outlineLevel="1" x14ac:dyDescent="0.25">
      <c r="A4505" t="s">
        <v>557</v>
      </c>
      <c r="B4505" t="s">
        <v>30</v>
      </c>
      <c r="C4505" s="1" t="str">
        <f>HYPERLINK("http://продеталь.рф/search.html?article=GD4587DL","GD4587DL")</f>
        <v>GD4587DL</v>
      </c>
      <c r="D4505" t="s">
        <v>2</v>
      </c>
    </row>
    <row r="4506" spans="1:4" outlineLevel="1" x14ac:dyDescent="0.25">
      <c r="A4506" t="s">
        <v>557</v>
      </c>
      <c r="B4506" t="s">
        <v>30</v>
      </c>
      <c r="C4506" s="1" t="str">
        <f>HYPERLINK("http://продеталь.рф/search.html?article=GD4587DR","GD4587DR")</f>
        <v>GD4587DR</v>
      </c>
      <c r="D4506" t="s">
        <v>2</v>
      </c>
    </row>
    <row r="4507" spans="1:4" outlineLevel="1" x14ac:dyDescent="0.25">
      <c r="A4507" t="s">
        <v>557</v>
      </c>
      <c r="B4507" t="s">
        <v>40</v>
      </c>
      <c r="C4507" s="1" t="str">
        <f>HYPERLINK("http://продеталь.рф/search.html?article=101533","101533")</f>
        <v>101533</v>
      </c>
      <c r="D4507" t="s">
        <v>165</v>
      </c>
    </row>
    <row r="4508" spans="1:4" outlineLevel="1" x14ac:dyDescent="0.25">
      <c r="A4508" t="s">
        <v>557</v>
      </c>
      <c r="B4508" t="s">
        <v>40</v>
      </c>
      <c r="C4508" s="1" t="str">
        <f>HYPERLINK("http://продеталь.рф/search.html?article=POP99002GA","POP99002GA")</f>
        <v>POP99002GA</v>
      </c>
      <c r="D4508" t="s">
        <v>6</v>
      </c>
    </row>
    <row r="4509" spans="1:4" outlineLevel="1" x14ac:dyDescent="0.25">
      <c r="A4509" t="s">
        <v>557</v>
      </c>
      <c r="B4509" t="s">
        <v>71</v>
      </c>
      <c r="C4509" s="1" t="str">
        <f>HYPERLINK("http://продеталь.рф/search.html?article=UOE0435661","UOE0435661")</f>
        <v>UOE0435661</v>
      </c>
      <c r="D4509" t="s">
        <v>2</v>
      </c>
    </row>
    <row r="4510" spans="1:4" outlineLevel="1" x14ac:dyDescent="0.25">
      <c r="A4510" t="s">
        <v>557</v>
      </c>
      <c r="B4510" t="s">
        <v>71</v>
      </c>
      <c r="C4510" s="1" t="str">
        <f>HYPERLINK("http://продеталь.рф/search.html?article=UOE0435662","UOE0435662")</f>
        <v>UOE0435662</v>
      </c>
      <c r="D4510" t="s">
        <v>2</v>
      </c>
    </row>
    <row r="4511" spans="1:4" outlineLevel="1" x14ac:dyDescent="0.25">
      <c r="A4511" t="s">
        <v>557</v>
      </c>
      <c r="B4511" t="s">
        <v>71</v>
      </c>
      <c r="C4511" s="1" t="str">
        <f>HYPERLINK("http://продеталь.рф/search.html?article=OP08013A2","OP08013A2")</f>
        <v>OP08013A2</v>
      </c>
      <c r="D4511" t="s">
        <v>9</v>
      </c>
    </row>
    <row r="4512" spans="1:4" outlineLevel="1" x14ac:dyDescent="0.25">
      <c r="A4512" t="s">
        <v>557</v>
      </c>
      <c r="B4512" t="s">
        <v>71</v>
      </c>
      <c r="C4512" s="1" t="str">
        <f>HYPERLINK("http://продеталь.рф/search.html?article=OP08013A1","OP08013A1")</f>
        <v>OP08013A1</v>
      </c>
      <c r="D4512" t="s">
        <v>9</v>
      </c>
    </row>
    <row r="4513" spans="1:4" outlineLevel="1" x14ac:dyDescent="0.25">
      <c r="A4513" t="s">
        <v>557</v>
      </c>
      <c r="B4513" t="s">
        <v>32</v>
      </c>
      <c r="C4513" s="1" t="str">
        <f>HYPERLINK("http://продеталь.рф/search.html?article=32500261","32500261")</f>
        <v>32500261</v>
      </c>
      <c r="D4513" t="s">
        <v>4</v>
      </c>
    </row>
    <row r="4514" spans="1:4" outlineLevel="1" x14ac:dyDescent="0.25">
      <c r="A4514" t="s">
        <v>557</v>
      </c>
      <c r="B4514" t="s">
        <v>32</v>
      </c>
      <c r="C4514" s="1" t="str">
        <f>HYPERLINK("http://продеталь.рф/search.html?article=32500251","32500251")</f>
        <v>32500251</v>
      </c>
      <c r="D4514" t="s">
        <v>4</v>
      </c>
    </row>
    <row r="4515" spans="1:4" outlineLevel="1" x14ac:dyDescent="0.25">
      <c r="A4515" t="s">
        <v>557</v>
      </c>
      <c r="B4515" t="s">
        <v>32</v>
      </c>
      <c r="C4515" s="1" t="str">
        <f>HYPERLINK("http://продеталь.рф/search.html?article=32500301","32500301")</f>
        <v>32500301</v>
      </c>
      <c r="D4515" t="s">
        <v>4</v>
      </c>
    </row>
    <row r="4516" spans="1:4" outlineLevel="1" x14ac:dyDescent="0.25">
      <c r="A4516" t="s">
        <v>557</v>
      </c>
      <c r="B4516" t="s">
        <v>32</v>
      </c>
      <c r="C4516" s="1" t="str">
        <f>HYPERLINK("http://продеталь.рф/search.html?article=32500291","32500291")</f>
        <v>32500291</v>
      </c>
      <c r="D4516" t="s">
        <v>4</v>
      </c>
    </row>
    <row r="4517" spans="1:4" x14ac:dyDescent="0.25">
      <c r="A4517" t="s">
        <v>558</v>
      </c>
      <c r="B4517" s="2" t="s">
        <v>558</v>
      </c>
      <c r="C4517" s="2"/>
      <c r="D4517" s="2"/>
    </row>
    <row r="4518" spans="1:4" outlineLevel="1" x14ac:dyDescent="0.25">
      <c r="A4518" t="s">
        <v>558</v>
      </c>
      <c r="B4518" t="s">
        <v>11</v>
      </c>
      <c r="C4518" s="1" t="str">
        <f>HYPERLINK("http://продеталь.рф/search.html?article=POP04055BA","POP04055BA")</f>
        <v>POP04055BA</v>
      </c>
      <c r="D4518" t="s">
        <v>6</v>
      </c>
    </row>
    <row r="4519" spans="1:4" outlineLevel="1" x14ac:dyDescent="0.25">
      <c r="A4519" t="s">
        <v>558</v>
      </c>
      <c r="B4519" t="s">
        <v>11</v>
      </c>
      <c r="C4519" s="1" t="str">
        <f>HYPERLINK("http://продеталь.рф/search.html?article=OP04057BAN","OP04057BAN")</f>
        <v>OP04057BAN</v>
      </c>
      <c r="D4519" t="s">
        <v>2</v>
      </c>
    </row>
    <row r="4520" spans="1:4" outlineLevel="1" x14ac:dyDescent="0.25">
      <c r="A4520" t="s">
        <v>558</v>
      </c>
      <c r="B4520" t="s">
        <v>15</v>
      </c>
      <c r="C4520" s="1" t="str">
        <f>HYPERLINK("http://продеталь.рф/search.html?article=3250094","3250094")</f>
        <v>3250094</v>
      </c>
      <c r="D4520" t="s">
        <v>4</v>
      </c>
    </row>
    <row r="4521" spans="1:4" outlineLevel="1" x14ac:dyDescent="0.25">
      <c r="A4521" t="s">
        <v>558</v>
      </c>
      <c r="B4521" t="s">
        <v>23</v>
      </c>
      <c r="C4521" s="1" t="str">
        <f>HYPERLINK("http://продеталь.рф/search.html?article=11B430012B","11B430012B")</f>
        <v>11B430012B</v>
      </c>
      <c r="D4521" t="s">
        <v>4</v>
      </c>
    </row>
    <row r="4522" spans="1:4" outlineLevel="1" x14ac:dyDescent="0.25">
      <c r="A4522" t="s">
        <v>558</v>
      </c>
      <c r="B4522" t="s">
        <v>84</v>
      </c>
      <c r="C4522" s="1" t="str">
        <f>HYPERLINK("http://продеталь.рф/search.html?article=POP43020AL","POP43020AL")</f>
        <v>POP43020AL</v>
      </c>
      <c r="D4522" t="s">
        <v>6</v>
      </c>
    </row>
    <row r="4523" spans="1:4" outlineLevel="1" x14ac:dyDescent="0.25">
      <c r="A4523" t="s">
        <v>558</v>
      </c>
      <c r="B4523" t="s">
        <v>84</v>
      </c>
      <c r="C4523" s="1" t="str">
        <f>HYPERLINK("http://продеталь.рф/search.html?article=OP43022AL","OP43022AL")</f>
        <v>OP43022AL</v>
      </c>
      <c r="D4523" t="s">
        <v>2</v>
      </c>
    </row>
    <row r="4524" spans="1:4" outlineLevel="1" x14ac:dyDescent="0.25">
      <c r="A4524" t="s">
        <v>558</v>
      </c>
      <c r="B4524" t="s">
        <v>84</v>
      </c>
      <c r="C4524" s="1" t="str">
        <f>HYPERLINK("http://продеталь.рф/search.html?article=OP43022AR","OP43022AR")</f>
        <v>OP43022AR</v>
      </c>
      <c r="D4524" t="s">
        <v>2</v>
      </c>
    </row>
    <row r="4525" spans="1:4" outlineLevel="1" x14ac:dyDescent="0.25">
      <c r="A4525" t="s">
        <v>558</v>
      </c>
      <c r="B4525" t="s">
        <v>24</v>
      </c>
      <c r="C4525" s="1" t="str">
        <f>HYPERLINK("http://продеталь.рф/search.html?article=99C12L","99C12L")</f>
        <v>99C12L</v>
      </c>
      <c r="D4525" t="s">
        <v>36</v>
      </c>
    </row>
    <row r="4526" spans="1:4" outlineLevel="1" x14ac:dyDescent="0.25">
      <c r="A4526" t="s">
        <v>558</v>
      </c>
      <c r="B4526" t="s">
        <v>37</v>
      </c>
      <c r="C4526" s="1" t="str">
        <f>HYPERLINK("http://продеталь.рф/search.html?article=716211","716211")</f>
        <v>716211</v>
      </c>
      <c r="D4526" t="s">
        <v>58</v>
      </c>
    </row>
    <row r="4527" spans="1:4" outlineLevel="1" x14ac:dyDescent="0.25">
      <c r="A4527" t="s">
        <v>558</v>
      </c>
      <c r="B4527" t="s">
        <v>37</v>
      </c>
      <c r="C4527" s="1" t="str">
        <f>HYPERLINK("http://продеталь.рф/search.html?article=716212","716212")</f>
        <v>716212</v>
      </c>
      <c r="D4527" t="s">
        <v>58</v>
      </c>
    </row>
    <row r="4528" spans="1:4" outlineLevel="1" x14ac:dyDescent="0.25">
      <c r="A4528" t="s">
        <v>558</v>
      </c>
      <c r="B4528" t="s">
        <v>37</v>
      </c>
      <c r="C4528" s="1" t="str">
        <f>HYPERLINK("http://продеталь.рф/search.html?article=716251","716251")</f>
        <v>716251</v>
      </c>
      <c r="D4528" t="s">
        <v>58</v>
      </c>
    </row>
    <row r="4529" spans="1:4" outlineLevel="1" x14ac:dyDescent="0.25">
      <c r="A4529" t="s">
        <v>558</v>
      </c>
      <c r="B4529" t="s">
        <v>37</v>
      </c>
      <c r="C4529" s="1" t="str">
        <f>HYPERLINK("http://продеталь.рф/search.html?article=716254","716254")</f>
        <v>716254</v>
      </c>
      <c r="D4529" t="s">
        <v>58</v>
      </c>
    </row>
    <row r="4530" spans="1:4" outlineLevel="1" x14ac:dyDescent="0.25">
      <c r="A4530" t="s">
        <v>558</v>
      </c>
      <c r="B4530" t="s">
        <v>38</v>
      </c>
      <c r="C4530" s="1" t="str">
        <f>HYPERLINK("http://продеталь.рф/search.html?article=716218","716218")</f>
        <v>716218</v>
      </c>
      <c r="D4530" t="s">
        <v>58</v>
      </c>
    </row>
    <row r="4531" spans="1:4" outlineLevel="1" x14ac:dyDescent="0.25">
      <c r="A4531" t="s">
        <v>558</v>
      </c>
      <c r="B4531" t="s">
        <v>38</v>
      </c>
      <c r="C4531" s="1" t="str">
        <f>HYPERLINK("http://продеталь.рф/search.html?article=716219","716219")</f>
        <v>716219</v>
      </c>
      <c r="D4531" t="s">
        <v>58</v>
      </c>
    </row>
    <row r="4532" spans="1:4" outlineLevel="1" x14ac:dyDescent="0.25">
      <c r="A4532" t="s">
        <v>558</v>
      </c>
      <c r="B4532" t="s">
        <v>27</v>
      </c>
      <c r="C4532" s="1" t="str">
        <f>HYPERLINK("http://продеталь.рф/search.html?article=POP30012A","POP30012A")</f>
        <v>POP30012A</v>
      </c>
      <c r="D4532" t="s">
        <v>6</v>
      </c>
    </row>
    <row r="4533" spans="1:4" outlineLevel="1" x14ac:dyDescent="0.25">
      <c r="A4533" t="s">
        <v>558</v>
      </c>
      <c r="B4533" t="s">
        <v>3</v>
      </c>
      <c r="C4533" s="1" t="str">
        <f>HYPERLINK("http://продеталь.рф/search.html?article=201196152","201196152")</f>
        <v>201196152</v>
      </c>
      <c r="D4533" t="s">
        <v>4</v>
      </c>
    </row>
    <row r="4534" spans="1:4" outlineLevel="1" x14ac:dyDescent="0.25">
      <c r="A4534" t="s">
        <v>558</v>
      </c>
      <c r="B4534" t="s">
        <v>3</v>
      </c>
      <c r="C4534" s="1" t="str">
        <f>HYPERLINK("http://продеталь.рф/search.html?article=201195152","201195152")</f>
        <v>201195152</v>
      </c>
      <c r="D4534" t="s">
        <v>4</v>
      </c>
    </row>
    <row r="4535" spans="1:4" outlineLevel="1" x14ac:dyDescent="0.25">
      <c r="A4535" t="s">
        <v>558</v>
      </c>
      <c r="B4535" t="s">
        <v>3</v>
      </c>
      <c r="C4535" s="1" t="str">
        <f>HYPERLINK("http://продеталь.рф/search.html?article=20B154A52B","20B154A52B")</f>
        <v>20B154A52B</v>
      </c>
      <c r="D4535" t="s">
        <v>4</v>
      </c>
    </row>
    <row r="4536" spans="1:4" outlineLevel="1" x14ac:dyDescent="0.25">
      <c r="A4536" t="s">
        <v>558</v>
      </c>
      <c r="B4536" t="s">
        <v>3</v>
      </c>
      <c r="C4536" s="1" t="str">
        <f>HYPERLINK("http://продеталь.рф/search.html?article=20B153A52B","20B153A52B")</f>
        <v>20B153A52B</v>
      </c>
      <c r="D4536" t="s">
        <v>4</v>
      </c>
    </row>
    <row r="4537" spans="1:4" outlineLevel="1" x14ac:dyDescent="0.25">
      <c r="A4537" t="s">
        <v>558</v>
      </c>
      <c r="B4537" t="s">
        <v>3</v>
      </c>
      <c r="C4537" s="1" t="str">
        <f>HYPERLINK("http://продеталь.рф/search.html?article=20C630052B","20C630052B")</f>
        <v>20C630052B</v>
      </c>
      <c r="D4537" t="s">
        <v>4</v>
      </c>
    </row>
    <row r="4538" spans="1:4" outlineLevel="1" x14ac:dyDescent="0.25">
      <c r="A4538" t="s">
        <v>558</v>
      </c>
      <c r="B4538" t="s">
        <v>3</v>
      </c>
      <c r="C4538" s="1" t="str">
        <f>HYPERLINK("http://продеталь.рф/search.html?article=20C629052B","20C629052B")</f>
        <v>20C629052B</v>
      </c>
      <c r="D4538" t="s">
        <v>4</v>
      </c>
    </row>
    <row r="4539" spans="1:4" outlineLevel="1" x14ac:dyDescent="0.25">
      <c r="A4539" t="s">
        <v>558</v>
      </c>
      <c r="B4539" t="s">
        <v>5</v>
      </c>
      <c r="C4539" s="1" t="str">
        <f>HYPERLINK("http://продеталь.рф/search.html?article=211473A","211473A")</f>
        <v>211473A</v>
      </c>
      <c r="D4539" t="s">
        <v>21</v>
      </c>
    </row>
    <row r="4540" spans="1:4" outlineLevel="1" x14ac:dyDescent="0.25">
      <c r="A4540" t="s">
        <v>558</v>
      </c>
      <c r="B4540" t="s">
        <v>5</v>
      </c>
      <c r="C4540" s="1" t="str">
        <f>HYPERLINK("http://продеталь.рф/search.html?article=211474A","211474A")</f>
        <v>211474A</v>
      </c>
      <c r="D4540" t="s">
        <v>21</v>
      </c>
    </row>
    <row r="4541" spans="1:4" outlineLevel="1" x14ac:dyDescent="0.25">
      <c r="A4541" t="s">
        <v>558</v>
      </c>
      <c r="B4541" t="s">
        <v>5</v>
      </c>
      <c r="C4541" s="1" t="str">
        <f>HYPERLINK("http://продеталь.рф/search.html?article=211473B","211473B")</f>
        <v>211473B</v>
      </c>
      <c r="D4541" t="s">
        <v>21</v>
      </c>
    </row>
    <row r="4542" spans="1:4" outlineLevel="1" x14ac:dyDescent="0.25">
      <c r="A4542" t="s">
        <v>558</v>
      </c>
      <c r="B4542" t="s">
        <v>5</v>
      </c>
      <c r="C4542" s="1" t="str">
        <f>HYPERLINK("http://продеталь.рф/search.html?article=211474B","211474B")</f>
        <v>211474B</v>
      </c>
      <c r="D4542" t="s">
        <v>21</v>
      </c>
    </row>
    <row r="4543" spans="1:4" outlineLevel="1" x14ac:dyDescent="0.25">
      <c r="A4543" t="s">
        <v>558</v>
      </c>
      <c r="B4543" t="s">
        <v>5</v>
      </c>
      <c r="C4543" s="1" t="str">
        <f>HYPERLINK("http://продеталь.рф/search.html?article=POP11018CL","POP11018CL")</f>
        <v>POP11018CL</v>
      </c>
      <c r="D4543" t="s">
        <v>6</v>
      </c>
    </row>
    <row r="4544" spans="1:4" outlineLevel="1" x14ac:dyDescent="0.25">
      <c r="A4544" t="s">
        <v>558</v>
      </c>
      <c r="B4544" t="s">
        <v>19</v>
      </c>
      <c r="C4544" s="1" t="str">
        <f>HYPERLINK("http://продеталь.рф/search.html?article=19A664012B","19A664012B")</f>
        <v>19A664012B</v>
      </c>
      <c r="D4544" t="s">
        <v>4</v>
      </c>
    </row>
    <row r="4545" spans="1:4" outlineLevel="1" x14ac:dyDescent="0.25">
      <c r="A4545" t="s">
        <v>558</v>
      </c>
      <c r="B4545" t="s">
        <v>19</v>
      </c>
      <c r="C4545" s="1" t="str">
        <f>HYPERLINK("http://продеталь.рф/search.html?article=19A663012B","19A663012B")</f>
        <v>19A663012B</v>
      </c>
      <c r="D4545" t="s">
        <v>4</v>
      </c>
    </row>
    <row r="4546" spans="1:4" outlineLevel="1" x14ac:dyDescent="0.25">
      <c r="A4546" t="s">
        <v>558</v>
      </c>
      <c r="B4546" t="s">
        <v>19</v>
      </c>
      <c r="C4546" s="1" t="str">
        <f>HYPERLINK("http://продеталь.рф/search.html?article=19B010012B","19B010012B")</f>
        <v>19B010012B</v>
      </c>
      <c r="D4546" t="s">
        <v>4</v>
      </c>
    </row>
    <row r="4547" spans="1:4" outlineLevel="1" x14ac:dyDescent="0.25">
      <c r="A4547" t="s">
        <v>558</v>
      </c>
      <c r="B4547" t="s">
        <v>40</v>
      </c>
      <c r="C4547" s="1" t="str">
        <f>HYPERLINK("http://продеталь.рф/search.html?article=OP07029GA","OP07029GA")</f>
        <v>OP07029GA</v>
      </c>
      <c r="D4547" t="s">
        <v>2</v>
      </c>
    </row>
    <row r="4548" spans="1:4" outlineLevel="1" x14ac:dyDescent="0.25">
      <c r="A4548" t="s">
        <v>558</v>
      </c>
      <c r="B4548" t="s">
        <v>40</v>
      </c>
      <c r="C4548" s="1" t="str">
        <f>HYPERLINK("http://продеталь.рф/search.html?article=OP99014CAR","OP99014CAR")</f>
        <v>OP99014CAR</v>
      </c>
      <c r="D4548" t="s">
        <v>2</v>
      </c>
    </row>
    <row r="4549" spans="1:4" outlineLevel="1" x14ac:dyDescent="0.25">
      <c r="A4549" t="s">
        <v>558</v>
      </c>
      <c r="B4549" t="s">
        <v>40</v>
      </c>
      <c r="C4549" s="1" t="str">
        <f>HYPERLINK("http://продеталь.рф/search.html?article=OP99014CBLN","OP99014CBLN")</f>
        <v>OP99014CBLN</v>
      </c>
      <c r="D4549" t="s">
        <v>2</v>
      </c>
    </row>
    <row r="4550" spans="1:4" outlineLevel="1" x14ac:dyDescent="0.25">
      <c r="A4550" t="s">
        <v>558</v>
      </c>
      <c r="B4550" t="s">
        <v>40</v>
      </c>
      <c r="C4550" s="1" t="str">
        <f>HYPERLINK("http://продеталь.рф/search.html?article=OP99014CBRN","OP99014CBRN")</f>
        <v>OP99014CBRN</v>
      </c>
      <c r="D4550" t="s">
        <v>2</v>
      </c>
    </row>
    <row r="4551" spans="1:4" outlineLevel="1" x14ac:dyDescent="0.25">
      <c r="A4551" t="s">
        <v>558</v>
      </c>
      <c r="B4551" t="s">
        <v>40</v>
      </c>
      <c r="C4551" s="1" t="str">
        <f>HYPERLINK("http://продеталь.рф/search.html?article=0737710","0737710")</f>
        <v>0737710</v>
      </c>
      <c r="D4551" t="s">
        <v>58</v>
      </c>
    </row>
    <row r="4552" spans="1:4" outlineLevel="1" x14ac:dyDescent="0.25">
      <c r="A4552" t="s">
        <v>558</v>
      </c>
      <c r="B4552" t="s">
        <v>12</v>
      </c>
      <c r="C4552" s="1" t="str">
        <f>HYPERLINK("http://продеталь.рф/search.html?article=OP07045GAV","OP07045GAV")</f>
        <v>OP07045GAV</v>
      </c>
      <c r="D4552" t="s">
        <v>2</v>
      </c>
    </row>
    <row r="4553" spans="1:4" outlineLevel="1" x14ac:dyDescent="0.25">
      <c r="A4553" t="s">
        <v>558</v>
      </c>
      <c r="B4553" t="s">
        <v>71</v>
      </c>
      <c r="C4553" s="1" t="str">
        <f>HYPERLINK("http://продеталь.рф/search.html?article=POP02003AL","POP02003AL")</f>
        <v>POP02003AL</v>
      </c>
      <c r="D4553" t="s">
        <v>6</v>
      </c>
    </row>
    <row r="4554" spans="1:4" outlineLevel="1" x14ac:dyDescent="0.25">
      <c r="A4554" t="s">
        <v>558</v>
      </c>
      <c r="B4554" t="s">
        <v>71</v>
      </c>
      <c r="C4554" s="1" t="str">
        <f>HYPERLINK("http://продеталь.рф/search.html?article=POP02003AR","POP02003AR")</f>
        <v>POP02003AR</v>
      </c>
      <c r="D4554" t="s">
        <v>6</v>
      </c>
    </row>
    <row r="4555" spans="1:4" outlineLevel="1" x14ac:dyDescent="0.25">
      <c r="A4555" t="s">
        <v>558</v>
      </c>
      <c r="B4555" t="s">
        <v>32</v>
      </c>
      <c r="C4555" s="1" t="str">
        <f>HYPERLINK("http://продеталь.рф/search.html?article=SOPM1015ER","SOPM1015ER")</f>
        <v>SOPM1015ER</v>
      </c>
      <c r="D4555" t="s">
        <v>6</v>
      </c>
    </row>
    <row r="4556" spans="1:4" outlineLevel="1" x14ac:dyDescent="0.25">
      <c r="A4556" t="s">
        <v>558</v>
      </c>
      <c r="B4556" t="s">
        <v>13</v>
      </c>
      <c r="C4556" s="1" t="str">
        <f>HYPERLINK("http://продеталь.рф/search.html?article=POP44022A","POP44022A")</f>
        <v>POP44022A</v>
      </c>
      <c r="D4556" t="s">
        <v>6</v>
      </c>
    </row>
    <row r="4557" spans="1:4" x14ac:dyDescent="0.25">
      <c r="A4557" t="s">
        <v>559</v>
      </c>
      <c r="B4557" s="2" t="s">
        <v>559</v>
      </c>
      <c r="C4557" s="2"/>
      <c r="D4557" s="2"/>
    </row>
    <row r="4558" spans="1:4" outlineLevel="1" x14ac:dyDescent="0.25">
      <c r="A4558" t="s">
        <v>559</v>
      </c>
      <c r="B4558" t="s">
        <v>24</v>
      </c>
      <c r="C4558" s="1" t="str">
        <f>HYPERLINK("http://продеталь.рф/search.html?article=POP10042BL","POP10042BL")</f>
        <v>POP10042BL</v>
      </c>
      <c r="D4558" t="s">
        <v>6</v>
      </c>
    </row>
    <row r="4559" spans="1:4" outlineLevel="1" x14ac:dyDescent="0.25">
      <c r="A4559" t="s">
        <v>559</v>
      </c>
      <c r="B4559" t="s">
        <v>66</v>
      </c>
      <c r="C4559" s="1" t="str">
        <f>HYPERLINK("http://продеталь.рф/search.html?article=BK135","BK135")</f>
        <v>BK135</v>
      </c>
      <c r="D4559" t="s">
        <v>6</v>
      </c>
    </row>
    <row r="4560" spans="1:4" outlineLevel="1" x14ac:dyDescent="0.25">
      <c r="A4560" t="s">
        <v>559</v>
      </c>
      <c r="B4560" t="s">
        <v>3</v>
      </c>
      <c r="C4560" s="1" t="str">
        <f>HYPERLINK("http://продеталь.рф/search.html?article=20B764052B","20B764052B")</f>
        <v>20B764052B</v>
      </c>
      <c r="D4560" t="s">
        <v>4</v>
      </c>
    </row>
    <row r="4561" spans="1:4" outlineLevel="1" x14ac:dyDescent="0.25">
      <c r="A4561" t="s">
        <v>559</v>
      </c>
      <c r="B4561" t="s">
        <v>3</v>
      </c>
      <c r="C4561" s="1" t="str">
        <f>HYPERLINK("http://продеталь.рф/search.html?article=20B763052B","20B763052B")</f>
        <v>20B763052B</v>
      </c>
      <c r="D4561" t="s">
        <v>4</v>
      </c>
    </row>
    <row r="4562" spans="1:4" outlineLevel="1" x14ac:dyDescent="0.25">
      <c r="A4562" t="s">
        <v>559</v>
      </c>
      <c r="B4562" t="s">
        <v>12</v>
      </c>
      <c r="C4562" s="1" t="str">
        <f>HYPERLINK("http://продеталь.рф/search.html?article=OP07039GA","OP07039GA")</f>
        <v>OP07039GA</v>
      </c>
      <c r="D4562" t="s">
        <v>2</v>
      </c>
    </row>
    <row r="4563" spans="1:4" x14ac:dyDescent="0.25">
      <c r="A4563" t="s">
        <v>560</v>
      </c>
      <c r="B4563" s="2" t="s">
        <v>560</v>
      </c>
      <c r="C4563" s="2"/>
      <c r="D4563" s="2"/>
    </row>
    <row r="4564" spans="1:4" outlineLevel="1" x14ac:dyDescent="0.25">
      <c r="A4564" t="s">
        <v>560</v>
      </c>
      <c r="B4564" t="s">
        <v>11</v>
      </c>
      <c r="C4564" s="1" t="str">
        <f>HYPERLINK("http://продеталь.рф/search.html?article=27001","27001")</f>
        <v>27001</v>
      </c>
      <c r="D4564" t="s">
        <v>163</v>
      </c>
    </row>
    <row r="4565" spans="1:4" outlineLevel="1" x14ac:dyDescent="0.25">
      <c r="A4565" t="s">
        <v>560</v>
      </c>
      <c r="B4565" t="s">
        <v>561</v>
      </c>
      <c r="C4565" s="1" t="str">
        <f>HYPERLINK("http://продеталь.рф/search.html?article=OP462522","OP462522")</f>
        <v>OP462522</v>
      </c>
      <c r="D4565" t="s">
        <v>9</v>
      </c>
    </row>
    <row r="4566" spans="1:4" outlineLevel="1" x14ac:dyDescent="0.25">
      <c r="A4566" t="s">
        <v>560</v>
      </c>
      <c r="B4566" t="s">
        <v>45</v>
      </c>
      <c r="C4566" s="1" t="str">
        <f>HYPERLINK("http://продеталь.рф/search.html?article=5049581","5049581")</f>
        <v>5049581</v>
      </c>
      <c r="D4566" t="s">
        <v>46</v>
      </c>
    </row>
    <row r="4567" spans="1:4" outlineLevel="1" x14ac:dyDescent="0.25">
      <c r="A4567" t="s">
        <v>560</v>
      </c>
      <c r="B4567" t="s">
        <v>45</v>
      </c>
      <c r="C4567" s="1" t="str">
        <f>HYPERLINK("http://продеталь.рф/search.html?article=5049582","5049582")</f>
        <v>5049582</v>
      </c>
      <c r="D4567" t="s">
        <v>46</v>
      </c>
    </row>
    <row r="4568" spans="1:4" outlineLevel="1" x14ac:dyDescent="0.25">
      <c r="A4568" t="s">
        <v>560</v>
      </c>
      <c r="B4568" t="s">
        <v>24</v>
      </c>
      <c r="C4568" s="1" t="str">
        <f>HYPERLINK("http://продеталь.рф/search.html?article=16120112","16120112")</f>
        <v>16120112</v>
      </c>
      <c r="D4568" t="s">
        <v>47</v>
      </c>
    </row>
    <row r="4569" spans="1:4" outlineLevel="1" x14ac:dyDescent="0.25">
      <c r="A4569" t="s">
        <v>560</v>
      </c>
      <c r="B4569" t="s">
        <v>24</v>
      </c>
      <c r="C4569" s="1" t="str">
        <f>HYPERLINK("http://продеталь.рф/search.html?article=16120111","16120111")</f>
        <v>16120111</v>
      </c>
      <c r="D4569" t="s">
        <v>47</v>
      </c>
    </row>
    <row r="4570" spans="1:4" outlineLevel="1" x14ac:dyDescent="0.25">
      <c r="A4570" t="s">
        <v>560</v>
      </c>
      <c r="B4570" t="s">
        <v>3</v>
      </c>
      <c r="C4570" s="1" t="str">
        <f>HYPERLINK("http://продеталь.рф/search.html?article=550509E","550509E")</f>
        <v>550509E</v>
      </c>
      <c r="D4570" t="s">
        <v>81</v>
      </c>
    </row>
    <row r="4571" spans="1:4" outlineLevel="1" x14ac:dyDescent="0.25">
      <c r="A4571" t="s">
        <v>560</v>
      </c>
      <c r="B4571" t="s">
        <v>12</v>
      </c>
      <c r="C4571" s="1" t="str">
        <f>HYPERLINK("http://продеталь.рф/search.html?article=OP07001GA","OP07001GA")</f>
        <v>OP07001GA</v>
      </c>
      <c r="D4571" t="s">
        <v>2</v>
      </c>
    </row>
    <row r="4572" spans="1:4" outlineLevel="1" x14ac:dyDescent="0.25">
      <c r="A4572" t="s">
        <v>560</v>
      </c>
      <c r="B4572" t="s">
        <v>41</v>
      </c>
      <c r="C4572" s="1" t="str">
        <f>HYPERLINK("http://продеталь.рф/search.html?article=SOP1101L","SOP1101L")</f>
        <v>SOP1101L</v>
      </c>
      <c r="D4572" t="s">
        <v>4</v>
      </c>
    </row>
    <row r="4573" spans="1:4" x14ac:dyDescent="0.25">
      <c r="A4573" t="s">
        <v>562</v>
      </c>
      <c r="B4573" s="2" t="s">
        <v>562</v>
      </c>
      <c r="C4573" s="2"/>
      <c r="D4573" s="2"/>
    </row>
    <row r="4574" spans="1:4" outlineLevel="1" x14ac:dyDescent="0.25">
      <c r="A4574" t="s">
        <v>562</v>
      </c>
      <c r="B4574" t="s">
        <v>11</v>
      </c>
      <c r="C4574" s="1" t="str">
        <f>HYPERLINK("http://продеталь.рф/search.html?article=027097","027097")</f>
        <v>027097</v>
      </c>
      <c r="D4574" t="s">
        <v>163</v>
      </c>
    </row>
    <row r="4575" spans="1:4" outlineLevel="1" x14ac:dyDescent="0.25">
      <c r="A4575" t="s">
        <v>562</v>
      </c>
      <c r="B4575" t="s">
        <v>11</v>
      </c>
      <c r="C4575" s="1" t="str">
        <f>HYPERLINK("http://продеталь.рф/search.html?article=027095","027095")</f>
        <v>027095</v>
      </c>
      <c r="D4575" t="s">
        <v>163</v>
      </c>
    </row>
    <row r="4576" spans="1:4" outlineLevel="1" x14ac:dyDescent="0.25">
      <c r="A4576" t="s">
        <v>562</v>
      </c>
      <c r="B4576" t="s">
        <v>15</v>
      </c>
      <c r="C4576" s="1" t="str">
        <f>HYPERLINK("http://продеталь.рф/search.html?article=OPM1011BRE","OPM1011BRE")</f>
        <v>OPM1011BRE</v>
      </c>
      <c r="D4576" t="s">
        <v>2</v>
      </c>
    </row>
    <row r="4577" spans="1:4" outlineLevel="1" x14ac:dyDescent="0.25">
      <c r="A4577" t="s">
        <v>562</v>
      </c>
      <c r="B4577" t="s">
        <v>1</v>
      </c>
      <c r="C4577" s="1" t="str">
        <f>HYPERLINK("http://продеталь.рф/search.html?article=OP600150","OP600150")</f>
        <v>OP600150</v>
      </c>
      <c r="D4577" t="s">
        <v>9</v>
      </c>
    </row>
    <row r="4578" spans="1:4" outlineLevel="1" x14ac:dyDescent="0.25">
      <c r="A4578" t="s">
        <v>562</v>
      </c>
      <c r="B4578" t="s">
        <v>24</v>
      </c>
      <c r="C4578" s="1" t="str">
        <f>HYPERLINK("http://продеталь.рф/search.html?article=OP10028AL","OP10028AL")</f>
        <v>OP10028AL</v>
      </c>
      <c r="D4578" t="s">
        <v>2</v>
      </c>
    </row>
    <row r="4579" spans="1:4" outlineLevel="1" x14ac:dyDescent="0.25">
      <c r="A4579" t="s">
        <v>562</v>
      </c>
      <c r="B4579" t="s">
        <v>24</v>
      </c>
      <c r="C4579" s="1" t="str">
        <f>HYPERLINK("http://продеталь.рф/search.html?article=OP10028AR","OP10028AR")</f>
        <v>OP10028AR</v>
      </c>
      <c r="D4579" t="s">
        <v>2</v>
      </c>
    </row>
    <row r="4580" spans="1:4" outlineLevel="1" x14ac:dyDescent="0.25">
      <c r="A4580" t="s">
        <v>562</v>
      </c>
      <c r="B4580" t="s">
        <v>27</v>
      </c>
      <c r="C4580" s="1" t="str">
        <f>HYPERLINK("http://продеталь.рф/search.html?article=OP30019AU","OP30019AU")</f>
        <v>OP30019AU</v>
      </c>
      <c r="D4580" t="s">
        <v>2</v>
      </c>
    </row>
    <row r="4581" spans="1:4" outlineLevel="1" x14ac:dyDescent="0.25">
      <c r="A4581" t="s">
        <v>562</v>
      </c>
      <c r="B4581" t="s">
        <v>3</v>
      </c>
      <c r="C4581" s="1" t="str">
        <f>HYPERLINK("http://продеталь.рф/search.html?article=200338052","200338052")</f>
        <v>200338052</v>
      </c>
      <c r="D4581" t="s">
        <v>4</v>
      </c>
    </row>
    <row r="4582" spans="1:4" outlineLevel="1" x14ac:dyDescent="0.25">
      <c r="A4582" t="s">
        <v>562</v>
      </c>
      <c r="B4582" t="s">
        <v>19</v>
      </c>
      <c r="C4582" s="1" t="str">
        <f>HYPERLINK("http://продеталь.рф/search.html?article=190187052","190187052")</f>
        <v>190187052</v>
      </c>
      <c r="D4582" t="s">
        <v>4</v>
      </c>
    </row>
    <row r="4583" spans="1:4" outlineLevel="1" x14ac:dyDescent="0.25">
      <c r="A4583" t="s">
        <v>562</v>
      </c>
      <c r="B4583" t="s">
        <v>19</v>
      </c>
      <c r="C4583" s="1" t="str">
        <f>HYPERLINK("http://продеталь.рф/search.html?article=19A596012B","19A596012B")</f>
        <v>19A596012B</v>
      </c>
      <c r="D4583" t="s">
        <v>4</v>
      </c>
    </row>
    <row r="4584" spans="1:4" outlineLevel="1" x14ac:dyDescent="0.25">
      <c r="A4584" t="s">
        <v>562</v>
      </c>
      <c r="B4584" t="s">
        <v>19</v>
      </c>
      <c r="C4584" s="1" t="str">
        <f>HYPERLINK("http://продеталь.рф/search.html?article=19A595012B","19A595012B")</f>
        <v>19A595012B</v>
      </c>
      <c r="D4584" t="s">
        <v>4</v>
      </c>
    </row>
    <row r="4585" spans="1:4" outlineLevel="1" x14ac:dyDescent="0.25">
      <c r="A4585" t="s">
        <v>562</v>
      </c>
      <c r="B4585" t="s">
        <v>263</v>
      </c>
      <c r="C4585" s="1" t="str">
        <f>HYPERLINK("http://продеталь.рф/search.html?article=OP600009S0L00","OP600009S0L00")</f>
        <v>OP600009S0L00</v>
      </c>
      <c r="D4585" t="s">
        <v>9</v>
      </c>
    </row>
    <row r="4586" spans="1:4" outlineLevel="1" x14ac:dyDescent="0.25">
      <c r="A4586" t="s">
        <v>562</v>
      </c>
      <c r="B4586" t="s">
        <v>263</v>
      </c>
      <c r="C4586" s="1" t="str">
        <f>HYPERLINK("http://продеталь.рф/search.html?article=OP600009S0R00","OP600009S0R00")</f>
        <v>OP600009S0R00</v>
      </c>
      <c r="D4586" t="s">
        <v>9</v>
      </c>
    </row>
    <row r="4587" spans="1:4" outlineLevel="1" x14ac:dyDescent="0.25">
      <c r="A4587" t="s">
        <v>562</v>
      </c>
      <c r="B4587" t="s">
        <v>12</v>
      </c>
      <c r="C4587" s="1" t="str">
        <f>HYPERLINK("http://продеталь.рф/search.html?article=OP07023GA","OP07023GA")</f>
        <v>OP07023GA</v>
      </c>
      <c r="D4587" t="s">
        <v>2</v>
      </c>
    </row>
    <row r="4588" spans="1:4" outlineLevel="1" x14ac:dyDescent="0.25">
      <c r="A4588" t="s">
        <v>562</v>
      </c>
      <c r="B4588" t="s">
        <v>13</v>
      </c>
      <c r="C4588" s="1" t="str">
        <f>HYPERLINK("http://продеталь.рф/search.html?article=OP60000R0","OP60000R0")</f>
        <v>OP60000R0</v>
      </c>
      <c r="D4588" t="s">
        <v>9</v>
      </c>
    </row>
    <row r="4589" spans="1:4" x14ac:dyDescent="0.25">
      <c r="A4589" t="s">
        <v>563</v>
      </c>
      <c r="B4589" s="2" t="s">
        <v>563</v>
      </c>
      <c r="C4589" s="2"/>
      <c r="D4589" s="2"/>
    </row>
    <row r="4590" spans="1:4" outlineLevel="1" x14ac:dyDescent="0.25">
      <c r="A4590" t="s">
        <v>563</v>
      </c>
      <c r="B4590" t="s">
        <v>3</v>
      </c>
      <c r="C4590" s="1" t="str">
        <f>HYPERLINK("http://продеталь.рф/search.html?article=20C484052B","20C484052B")</f>
        <v>20C484052B</v>
      </c>
      <c r="D4590" t="s">
        <v>4</v>
      </c>
    </row>
    <row r="4591" spans="1:4" x14ac:dyDescent="0.25">
      <c r="A4591" t="s">
        <v>564</v>
      </c>
      <c r="B4591" s="2" t="s">
        <v>564</v>
      </c>
      <c r="C4591" s="2"/>
      <c r="D4591" s="2"/>
    </row>
    <row r="4592" spans="1:4" outlineLevel="1" x14ac:dyDescent="0.25">
      <c r="A4592" t="s">
        <v>564</v>
      </c>
      <c r="B4592" t="s">
        <v>3</v>
      </c>
      <c r="C4592" s="1" t="str">
        <f>HYPERLINK("http://продеталь.рф/search.html?article=200498052","200498052")</f>
        <v>200498052</v>
      </c>
      <c r="D4592" t="s">
        <v>4</v>
      </c>
    </row>
    <row r="4593" spans="1:4" outlineLevel="1" x14ac:dyDescent="0.25">
      <c r="A4593" t="s">
        <v>564</v>
      </c>
      <c r="B4593" t="s">
        <v>16</v>
      </c>
      <c r="C4593" s="1" t="str">
        <f>HYPERLINK("http://продеталь.рф/search.html?article=18A236012B","18A236012B")</f>
        <v>18A236012B</v>
      </c>
      <c r="D4593" t="s">
        <v>4</v>
      </c>
    </row>
    <row r="4594" spans="1:4" outlineLevel="1" x14ac:dyDescent="0.25">
      <c r="A4594" t="s">
        <v>564</v>
      </c>
      <c r="B4594" t="s">
        <v>16</v>
      </c>
      <c r="C4594" s="1" t="str">
        <f>HYPERLINK("http://продеталь.рф/search.html?article=18A519012B","18A519012B")</f>
        <v>18A519012B</v>
      </c>
      <c r="D4594" t="s">
        <v>4</v>
      </c>
    </row>
    <row r="4595" spans="1:4" x14ac:dyDescent="0.25">
      <c r="A4595" t="s">
        <v>565</v>
      </c>
      <c r="B4595" s="2" t="s">
        <v>565</v>
      </c>
      <c r="C4595" s="2"/>
      <c r="D4595" s="2"/>
    </row>
    <row r="4596" spans="1:4" outlineLevel="1" x14ac:dyDescent="0.25">
      <c r="A4596" t="s">
        <v>565</v>
      </c>
      <c r="B4596" t="s">
        <v>23</v>
      </c>
      <c r="C4596" s="1" t="str">
        <f>HYPERLINK("http://продеталь.рф/search.html?article=11B700012B","11B700012B")</f>
        <v>11B700012B</v>
      </c>
      <c r="D4596" t="s">
        <v>4</v>
      </c>
    </row>
    <row r="4597" spans="1:4" x14ac:dyDescent="0.25">
      <c r="A4597" t="s">
        <v>566</v>
      </c>
      <c r="B4597" s="2" t="s">
        <v>566</v>
      </c>
      <c r="C4597" s="2"/>
      <c r="D4597" s="2"/>
    </row>
    <row r="4598" spans="1:4" outlineLevel="1" x14ac:dyDescent="0.25">
      <c r="A4598" t="s">
        <v>566</v>
      </c>
      <c r="B4598" t="s">
        <v>11</v>
      </c>
      <c r="C4598" s="1" t="str">
        <f>HYPERLINK("http://продеталь.рф/search.html?article=OP04001BA","OP04001BA")</f>
        <v>OP04001BA</v>
      </c>
      <c r="D4598" t="s">
        <v>2</v>
      </c>
    </row>
    <row r="4599" spans="1:4" outlineLevel="1" x14ac:dyDescent="0.25">
      <c r="A4599" t="s">
        <v>566</v>
      </c>
      <c r="B4599" t="s">
        <v>3</v>
      </c>
      <c r="C4599" s="1" t="str">
        <f>HYPERLINK("http://продеталь.рф/search.html?article=205214082","205214082")</f>
        <v>205214082</v>
      </c>
      <c r="D4599" t="s">
        <v>4</v>
      </c>
    </row>
    <row r="4600" spans="1:4" outlineLevel="1" x14ac:dyDescent="0.25">
      <c r="A4600" t="s">
        <v>566</v>
      </c>
      <c r="B4600" t="s">
        <v>3</v>
      </c>
      <c r="C4600" s="1" t="str">
        <f>HYPERLINK("http://продеталь.рф/search.html?article=205213082","205213082")</f>
        <v>205213082</v>
      </c>
      <c r="D4600" t="s">
        <v>4</v>
      </c>
    </row>
    <row r="4601" spans="1:4" outlineLevel="1" x14ac:dyDescent="0.25">
      <c r="A4601" t="s">
        <v>566</v>
      </c>
      <c r="B4601" t="s">
        <v>12</v>
      </c>
      <c r="C4601" s="1" t="str">
        <f>HYPERLINK("http://продеталь.рф/search.html?article=OP07004GA","OP07004GA")</f>
        <v>OP07004GA</v>
      </c>
      <c r="D4601" t="s">
        <v>2</v>
      </c>
    </row>
    <row r="4602" spans="1:4" outlineLevel="1" x14ac:dyDescent="0.25">
      <c r="A4602" t="s">
        <v>566</v>
      </c>
      <c r="B4602" t="s">
        <v>567</v>
      </c>
      <c r="C4602" s="1" t="str">
        <f>HYPERLINK("http://продеталь.рф/search.html?article=OP07002GA","OP07002GA")</f>
        <v>OP07002GA</v>
      </c>
      <c r="D4602" t="s">
        <v>2</v>
      </c>
    </row>
    <row r="4603" spans="1:4" outlineLevel="1" x14ac:dyDescent="0.25">
      <c r="A4603" t="s">
        <v>566</v>
      </c>
      <c r="B4603" t="s">
        <v>16</v>
      </c>
      <c r="C4603" s="1" t="str">
        <f>HYPERLINK("http://продеталь.рф/search.html?article=183378052","183378052")</f>
        <v>183378052</v>
      </c>
      <c r="D4603" t="s">
        <v>4</v>
      </c>
    </row>
    <row r="4604" spans="1:4" outlineLevel="1" x14ac:dyDescent="0.25">
      <c r="A4604" t="s">
        <v>566</v>
      </c>
      <c r="B4604" t="s">
        <v>16</v>
      </c>
      <c r="C4604" s="1" t="str">
        <f>HYPERLINK("http://продеталь.рф/search.html?article=183377052","183377052")</f>
        <v>183377052</v>
      </c>
      <c r="D4604" t="s">
        <v>4</v>
      </c>
    </row>
    <row r="4605" spans="1:4" outlineLevel="1" x14ac:dyDescent="0.25">
      <c r="A4605" t="s">
        <v>566</v>
      </c>
      <c r="B4605" t="s">
        <v>16</v>
      </c>
      <c r="C4605" s="1" t="str">
        <f>HYPERLINK("http://продеталь.рф/search.html?article=18A213","18A213")</f>
        <v>18A213</v>
      </c>
      <c r="D4605" t="s">
        <v>4</v>
      </c>
    </row>
    <row r="4606" spans="1:4" x14ac:dyDescent="0.25">
      <c r="A4606" t="s">
        <v>568</v>
      </c>
      <c r="B4606" s="2" t="s">
        <v>568</v>
      </c>
      <c r="C4606" s="2"/>
      <c r="D4606" s="2"/>
    </row>
    <row r="4607" spans="1:4" outlineLevel="1" x14ac:dyDescent="0.25">
      <c r="A4607" t="s">
        <v>568</v>
      </c>
      <c r="B4607" t="s">
        <v>11</v>
      </c>
      <c r="C4607" s="1" t="str">
        <f>HYPERLINK("http://продеталь.рф/search.html?article=OP04011BA","OP04011BA")</f>
        <v>OP04011BA</v>
      </c>
      <c r="D4607" t="s">
        <v>2</v>
      </c>
    </row>
    <row r="4608" spans="1:4" outlineLevel="1" x14ac:dyDescent="0.25">
      <c r="A4608" t="s">
        <v>568</v>
      </c>
      <c r="B4608" t="s">
        <v>45</v>
      </c>
      <c r="C4608" s="1" t="str">
        <f>HYPERLINK("http://продеталь.рф/search.html?article=5040581","5040581")</f>
        <v>5040581</v>
      </c>
      <c r="D4608" t="s">
        <v>46</v>
      </c>
    </row>
    <row r="4609" spans="1:4" outlineLevel="1" x14ac:dyDescent="0.25">
      <c r="A4609" t="s">
        <v>568</v>
      </c>
      <c r="B4609" t="s">
        <v>45</v>
      </c>
      <c r="C4609" s="1" t="str">
        <f>HYPERLINK("http://продеталь.рф/search.html?article=5040582","5040582")</f>
        <v>5040582</v>
      </c>
      <c r="D4609" t="s">
        <v>46</v>
      </c>
    </row>
    <row r="4610" spans="1:4" outlineLevel="1" x14ac:dyDescent="0.25">
      <c r="A4610" t="s">
        <v>568</v>
      </c>
      <c r="B4610" t="s">
        <v>1</v>
      </c>
      <c r="C4610" s="1" t="str">
        <f>HYPERLINK("http://продеталь.рф/search.html?article=OP20006A","OP20006A")</f>
        <v>OP20006A</v>
      </c>
      <c r="D4610" t="s">
        <v>2</v>
      </c>
    </row>
    <row r="4611" spans="1:4" outlineLevel="1" x14ac:dyDescent="0.25">
      <c r="A4611" t="s">
        <v>568</v>
      </c>
      <c r="B4611" t="s">
        <v>50</v>
      </c>
      <c r="C4611" s="1" t="str">
        <f>HYPERLINK("http://продеталь.рф/search.html?article=OP41020600L00","OP41020600L00")</f>
        <v>OP41020600L00</v>
      </c>
      <c r="D4611" t="s">
        <v>9</v>
      </c>
    </row>
    <row r="4612" spans="1:4" outlineLevel="1" x14ac:dyDescent="0.25">
      <c r="A4612" t="s">
        <v>568</v>
      </c>
      <c r="B4612" t="s">
        <v>50</v>
      </c>
      <c r="C4612" s="1" t="str">
        <f>HYPERLINK("http://продеталь.рф/search.html?article=OP41020600R00","OP41020600R00")</f>
        <v>OP41020600R00</v>
      </c>
      <c r="D4612" t="s">
        <v>9</v>
      </c>
    </row>
    <row r="4613" spans="1:4" outlineLevel="1" x14ac:dyDescent="0.25">
      <c r="A4613" t="s">
        <v>568</v>
      </c>
      <c r="B4613" t="s">
        <v>27</v>
      </c>
      <c r="C4613" s="1" t="str">
        <f>HYPERLINK("http://продеталь.рф/search.html?article=OP30008A","OP30008A")</f>
        <v>OP30008A</v>
      </c>
      <c r="D4613" t="s">
        <v>2</v>
      </c>
    </row>
    <row r="4614" spans="1:4" outlineLevel="1" x14ac:dyDescent="0.25">
      <c r="A4614" t="s">
        <v>568</v>
      </c>
      <c r="B4614" t="s">
        <v>3</v>
      </c>
      <c r="C4614" s="1" t="str">
        <f>HYPERLINK("http://продеталь.рф/search.html?article=203717082","203717082")</f>
        <v>203717082</v>
      </c>
      <c r="D4614" t="s">
        <v>4</v>
      </c>
    </row>
    <row r="4615" spans="1:4" outlineLevel="1" x14ac:dyDescent="0.25">
      <c r="A4615" t="s">
        <v>568</v>
      </c>
      <c r="B4615" t="s">
        <v>3</v>
      </c>
      <c r="C4615" s="1" t="str">
        <f>HYPERLINK("http://продеталь.рф/search.html?article=200188052","200188052")</f>
        <v>200188052</v>
      </c>
      <c r="D4615" t="s">
        <v>4</v>
      </c>
    </row>
    <row r="4616" spans="1:4" outlineLevel="1" x14ac:dyDescent="0.25">
      <c r="A4616" t="s">
        <v>568</v>
      </c>
      <c r="B4616" t="s">
        <v>5</v>
      </c>
      <c r="C4616" s="1" t="str">
        <f>HYPERLINK("http://продеталь.рф/search.html?article=211437","211437")</f>
        <v>211437</v>
      </c>
      <c r="D4616" t="s">
        <v>21</v>
      </c>
    </row>
    <row r="4617" spans="1:4" outlineLevel="1" x14ac:dyDescent="0.25">
      <c r="A4617" t="s">
        <v>568</v>
      </c>
      <c r="B4617" t="s">
        <v>5</v>
      </c>
      <c r="C4617" s="1" t="str">
        <f>HYPERLINK("http://продеталь.рф/search.html?article=211438","211438")</f>
        <v>211438</v>
      </c>
      <c r="D4617" t="s">
        <v>21</v>
      </c>
    </row>
    <row r="4618" spans="1:4" outlineLevel="1" x14ac:dyDescent="0.25">
      <c r="A4618" t="s">
        <v>568</v>
      </c>
      <c r="B4618" t="s">
        <v>5</v>
      </c>
      <c r="C4618" s="1" t="str">
        <f>HYPERLINK("http://продеталь.рф/search.html?article=OP420016L0L00","OP420016L0L00")</f>
        <v>OP420016L0L00</v>
      </c>
      <c r="D4618" t="s">
        <v>9</v>
      </c>
    </row>
    <row r="4619" spans="1:4" outlineLevel="1" x14ac:dyDescent="0.25">
      <c r="A4619" t="s">
        <v>568</v>
      </c>
      <c r="B4619" t="s">
        <v>28</v>
      </c>
      <c r="C4619" s="1" t="str">
        <f>HYPERLINK("http://продеталь.рф/search.html?article=RA63072MT","RA63072MT")</f>
        <v>RA63072MT</v>
      </c>
      <c r="D4619" t="s">
        <v>6</v>
      </c>
    </row>
    <row r="4620" spans="1:4" outlineLevel="1" x14ac:dyDescent="0.25">
      <c r="A4620" t="s">
        <v>568</v>
      </c>
      <c r="B4620" t="s">
        <v>28</v>
      </c>
      <c r="C4620" s="1" t="str">
        <f>HYPERLINK("http://продеталь.рф/search.html?article=RA63073Q","RA63073Q")</f>
        <v>RA63073Q</v>
      </c>
      <c r="D4620" t="s">
        <v>6</v>
      </c>
    </row>
    <row r="4621" spans="1:4" outlineLevel="1" x14ac:dyDescent="0.25">
      <c r="A4621" t="s">
        <v>568</v>
      </c>
      <c r="B4621" t="s">
        <v>29</v>
      </c>
      <c r="C4621" s="1" t="str">
        <f>HYPERLINK("http://продеталь.рф/search.html?article=RP72655","RP72655")</f>
        <v>RP72655</v>
      </c>
      <c r="D4621" t="s">
        <v>6</v>
      </c>
    </row>
    <row r="4622" spans="1:4" outlineLevel="1" x14ac:dyDescent="0.25">
      <c r="A4622" t="s">
        <v>568</v>
      </c>
      <c r="B4622" t="s">
        <v>75</v>
      </c>
      <c r="C4622" s="1" t="str">
        <f>HYPERLINK("http://продеталь.рф/search.html?article=185439001","185439001")</f>
        <v>185439001</v>
      </c>
      <c r="D4622" t="s">
        <v>4</v>
      </c>
    </row>
    <row r="4623" spans="1:4" outlineLevel="1" x14ac:dyDescent="0.25">
      <c r="A4623" t="s">
        <v>568</v>
      </c>
      <c r="B4623" t="s">
        <v>13</v>
      </c>
      <c r="C4623" s="1" t="str">
        <f>HYPERLINK("http://продеталь.рф/search.html?article=OP44008A","OP44008A")</f>
        <v>OP44008A</v>
      </c>
      <c r="D4623" t="s">
        <v>2</v>
      </c>
    </row>
    <row r="4624" spans="1:4" x14ac:dyDescent="0.25">
      <c r="A4624" t="s">
        <v>569</v>
      </c>
      <c r="B4624" s="2" t="s">
        <v>569</v>
      </c>
      <c r="C4624" s="2"/>
      <c r="D4624" s="2"/>
    </row>
    <row r="4625" spans="1:4" outlineLevel="1" x14ac:dyDescent="0.25">
      <c r="A4625" t="s">
        <v>569</v>
      </c>
      <c r="B4625" t="s">
        <v>3</v>
      </c>
      <c r="C4625" s="1" t="str">
        <f>HYPERLINK("http://продеталь.рф/search.html?article=205556082","205556082")</f>
        <v>205556082</v>
      </c>
      <c r="D4625" t="s">
        <v>4</v>
      </c>
    </row>
    <row r="4626" spans="1:4" outlineLevel="1" x14ac:dyDescent="0.25">
      <c r="A4626" t="s">
        <v>569</v>
      </c>
      <c r="B4626" t="s">
        <v>3</v>
      </c>
      <c r="C4626" s="1" t="str">
        <f>HYPERLINK("http://продеталь.рф/search.html?article=205555082","205555082")</f>
        <v>205555082</v>
      </c>
      <c r="D4626" t="s">
        <v>4</v>
      </c>
    </row>
    <row r="4627" spans="1:4" outlineLevel="1" x14ac:dyDescent="0.25">
      <c r="A4627" t="s">
        <v>569</v>
      </c>
      <c r="B4627" t="s">
        <v>19</v>
      </c>
      <c r="C4627" s="1" t="str">
        <f>HYPERLINK("http://продеталь.рф/search.html?article=195258052","195258052")</f>
        <v>195258052</v>
      </c>
      <c r="D4627" t="s">
        <v>4</v>
      </c>
    </row>
    <row r="4628" spans="1:4" outlineLevel="1" x14ac:dyDescent="0.25">
      <c r="A4628" t="s">
        <v>569</v>
      </c>
      <c r="B4628" t="s">
        <v>19</v>
      </c>
      <c r="C4628" s="1" t="str">
        <f>HYPERLINK("http://продеталь.рф/search.html?article=195257052","195257052")</f>
        <v>195257052</v>
      </c>
      <c r="D4628" t="s">
        <v>4</v>
      </c>
    </row>
    <row r="4629" spans="1:4" outlineLevel="1" x14ac:dyDescent="0.25">
      <c r="A4629" t="s">
        <v>569</v>
      </c>
      <c r="B4629" t="s">
        <v>16</v>
      </c>
      <c r="C4629" s="1" t="str">
        <f>HYPERLINK("http://продеталь.рф/search.html?article=185555012","185555012")</f>
        <v>185555012</v>
      </c>
      <c r="D4629" t="s">
        <v>4</v>
      </c>
    </row>
    <row r="4630" spans="1:4" outlineLevel="1" x14ac:dyDescent="0.25">
      <c r="A4630" t="s">
        <v>569</v>
      </c>
      <c r="B4630" t="s">
        <v>16</v>
      </c>
      <c r="C4630" s="1" t="str">
        <f>HYPERLINK("http://продеталь.рф/search.html?article=185556012","185556012")</f>
        <v>185556012</v>
      </c>
      <c r="D4630" t="s">
        <v>4</v>
      </c>
    </row>
    <row r="4631" spans="1:4" x14ac:dyDescent="0.25">
      <c r="A4631" t="s">
        <v>570</v>
      </c>
      <c r="B4631" s="2" t="s">
        <v>570</v>
      </c>
      <c r="C4631" s="2"/>
      <c r="D4631" s="2"/>
    </row>
    <row r="4632" spans="1:4" outlineLevel="1" x14ac:dyDescent="0.25">
      <c r="A4632" t="s">
        <v>570</v>
      </c>
      <c r="B4632" t="s">
        <v>1</v>
      </c>
      <c r="C4632" s="1" t="str">
        <f>HYPERLINK("http://продеталь.рф/search.html?article=OP01001500000","OP01001500000")</f>
        <v>OP01001500000</v>
      </c>
      <c r="D4632" t="s">
        <v>9</v>
      </c>
    </row>
    <row r="4633" spans="1:4" outlineLevel="1" x14ac:dyDescent="0.25">
      <c r="A4633" t="s">
        <v>570</v>
      </c>
      <c r="B4633" t="s">
        <v>19</v>
      </c>
      <c r="C4633" s="1" t="str">
        <f>HYPERLINK("http://продеталь.рф/search.html?article=190287012","190287012")</f>
        <v>190287012</v>
      </c>
      <c r="D4633" t="s">
        <v>4</v>
      </c>
    </row>
    <row r="4634" spans="1:4" x14ac:dyDescent="0.25">
      <c r="A4634" t="s">
        <v>571</v>
      </c>
      <c r="B4634" s="2" t="s">
        <v>571</v>
      </c>
      <c r="C4634" s="2"/>
      <c r="D4634" s="2"/>
    </row>
    <row r="4635" spans="1:4" outlineLevel="1" x14ac:dyDescent="0.25">
      <c r="A4635" t="s">
        <v>571</v>
      </c>
      <c r="B4635" t="s">
        <v>11</v>
      </c>
      <c r="C4635" s="1" t="str">
        <f>HYPERLINK("http://продеталь.рф/search.html?article=OP04002BA","OP04002BA")</f>
        <v>OP04002BA</v>
      </c>
      <c r="D4635" t="s">
        <v>2</v>
      </c>
    </row>
    <row r="4636" spans="1:4" outlineLevel="1" x14ac:dyDescent="0.25">
      <c r="A4636" t="s">
        <v>571</v>
      </c>
      <c r="B4636" t="s">
        <v>11</v>
      </c>
      <c r="C4636" s="1" t="str">
        <f>HYPERLINK("http://продеталь.рф/search.html?article=OP04002BB","OP04002BB")</f>
        <v>OP04002BB</v>
      </c>
      <c r="D4636" t="s">
        <v>2</v>
      </c>
    </row>
    <row r="4637" spans="1:4" outlineLevel="1" x14ac:dyDescent="0.25">
      <c r="A4637" t="s">
        <v>571</v>
      </c>
      <c r="B4637" t="s">
        <v>551</v>
      </c>
      <c r="C4637" s="1" t="str">
        <f>HYPERLINK("http://продеталь.рф/search.html?article=POP77024E","POP77024E")</f>
        <v>POP77024E</v>
      </c>
      <c r="D4637" t="s">
        <v>6</v>
      </c>
    </row>
    <row r="4638" spans="1:4" outlineLevel="1" x14ac:dyDescent="0.25">
      <c r="A4638" t="s">
        <v>571</v>
      </c>
      <c r="B4638" t="s">
        <v>23</v>
      </c>
      <c r="C4638" s="1" t="str">
        <f>HYPERLINK("http://продеталь.рф/search.html?article=ZOP1910KL","ZOP1910KL")</f>
        <v>ZOP1910KL</v>
      </c>
      <c r="D4638" t="s">
        <v>6</v>
      </c>
    </row>
    <row r="4639" spans="1:4" outlineLevel="1" x14ac:dyDescent="0.25">
      <c r="A4639" t="s">
        <v>571</v>
      </c>
      <c r="B4639" t="s">
        <v>23</v>
      </c>
      <c r="C4639" s="1" t="str">
        <f>HYPERLINK("http://продеталь.рф/search.html?article=ZOP1910KR","ZOP1910KR")</f>
        <v>ZOP1910KR</v>
      </c>
      <c r="D4639" t="s">
        <v>6</v>
      </c>
    </row>
    <row r="4640" spans="1:4" outlineLevel="1" x14ac:dyDescent="0.25">
      <c r="A4640" t="s">
        <v>571</v>
      </c>
      <c r="B4640" t="s">
        <v>23</v>
      </c>
      <c r="C4640" s="1" t="str">
        <f>HYPERLINK("http://продеталь.рф/search.html?article=ZOP1904CL","ZOP1904CL")</f>
        <v>ZOP1904CL</v>
      </c>
      <c r="D4640" t="s">
        <v>6</v>
      </c>
    </row>
    <row r="4641" spans="1:4" outlineLevel="1" x14ac:dyDescent="0.25">
      <c r="A4641" t="s">
        <v>571</v>
      </c>
      <c r="B4641" t="s">
        <v>45</v>
      </c>
      <c r="C4641" s="1" t="str">
        <f>HYPERLINK("http://продеталь.рф/search.html?article=5076582","5076582")</f>
        <v>5076582</v>
      </c>
      <c r="D4641" t="s">
        <v>46</v>
      </c>
    </row>
    <row r="4642" spans="1:4" outlineLevel="1" x14ac:dyDescent="0.25">
      <c r="A4642" t="s">
        <v>571</v>
      </c>
      <c r="B4642" t="s">
        <v>1</v>
      </c>
      <c r="C4642" s="1" t="str">
        <f>HYPERLINK("http://продеталь.рф/search.html?article=OP20003C","OP20003C")</f>
        <v>OP20003C</v>
      </c>
      <c r="D4642" t="s">
        <v>2</v>
      </c>
    </row>
    <row r="4643" spans="1:4" outlineLevel="1" x14ac:dyDescent="0.25">
      <c r="A4643" t="s">
        <v>571</v>
      </c>
      <c r="B4643" t="s">
        <v>1</v>
      </c>
      <c r="C4643" s="1" t="str">
        <f>HYPERLINK("http://продеталь.рф/search.html?article=OP20003A","OP20003A")</f>
        <v>OP20003A</v>
      </c>
      <c r="D4643" t="s">
        <v>2</v>
      </c>
    </row>
    <row r="4644" spans="1:4" outlineLevel="1" x14ac:dyDescent="0.25">
      <c r="A4644" t="s">
        <v>571</v>
      </c>
      <c r="B4644" t="s">
        <v>24</v>
      </c>
      <c r="C4644" s="1" t="str">
        <f>HYPERLINK("http://продеталь.рф/search.html?article=55081005090","55081005090")</f>
        <v>55081005090</v>
      </c>
      <c r="D4644" t="s">
        <v>49</v>
      </c>
    </row>
    <row r="4645" spans="1:4" outlineLevel="1" x14ac:dyDescent="0.25">
      <c r="A4645" t="s">
        <v>571</v>
      </c>
      <c r="B4645" t="s">
        <v>24</v>
      </c>
      <c r="C4645" s="1" t="str">
        <f>HYPERLINK("http://продеталь.рф/search.html?article=16160211","16160211")</f>
        <v>16160211</v>
      </c>
      <c r="D4645" t="s">
        <v>47</v>
      </c>
    </row>
    <row r="4646" spans="1:4" outlineLevel="1" x14ac:dyDescent="0.25">
      <c r="A4646" t="s">
        <v>571</v>
      </c>
      <c r="B4646" t="s">
        <v>24</v>
      </c>
      <c r="C4646" s="1" t="str">
        <f>HYPERLINK("http://продеталь.рф/search.html?article=110605D","110605D")</f>
        <v>110605D</v>
      </c>
      <c r="D4646" t="s">
        <v>164</v>
      </c>
    </row>
    <row r="4647" spans="1:4" outlineLevel="1" x14ac:dyDescent="0.25">
      <c r="A4647" t="s">
        <v>571</v>
      </c>
      <c r="B4647" t="s">
        <v>50</v>
      </c>
      <c r="C4647" s="1" t="str">
        <f>HYPERLINK("http://продеталь.рф/search.html?article=OP50001AU","OP50001AU")</f>
        <v>OP50001AU</v>
      </c>
      <c r="D4647" t="s">
        <v>2</v>
      </c>
    </row>
    <row r="4648" spans="1:4" outlineLevel="1" x14ac:dyDescent="0.25">
      <c r="A4648" t="s">
        <v>571</v>
      </c>
      <c r="B4648" t="s">
        <v>51</v>
      </c>
      <c r="C4648" s="1" t="str">
        <f>HYPERLINK("http://продеталь.рф/search.html?article=POP33001AU","POP33001AU")</f>
        <v>POP33001AU</v>
      </c>
      <c r="D4648" t="s">
        <v>6</v>
      </c>
    </row>
    <row r="4649" spans="1:4" outlineLevel="1" x14ac:dyDescent="0.25">
      <c r="A4649" t="s">
        <v>571</v>
      </c>
      <c r="B4649" t="s">
        <v>51</v>
      </c>
      <c r="C4649" s="1" t="str">
        <f>HYPERLINK("http://продеталь.рф/search.html?article=5076230","5076230")</f>
        <v>5076230</v>
      </c>
      <c r="D4649" t="s">
        <v>46</v>
      </c>
    </row>
    <row r="4650" spans="1:4" outlineLevel="1" x14ac:dyDescent="0.25">
      <c r="A4650" t="s">
        <v>571</v>
      </c>
      <c r="B4650" t="s">
        <v>27</v>
      </c>
      <c r="C4650" s="1" t="str">
        <f>HYPERLINK("http://продеталь.рф/search.html?article=OP330009U0000","OP330009U0000")</f>
        <v>OP330009U0000</v>
      </c>
      <c r="D4650" t="s">
        <v>9</v>
      </c>
    </row>
    <row r="4651" spans="1:4" outlineLevel="1" x14ac:dyDescent="0.25">
      <c r="A4651" t="s">
        <v>571</v>
      </c>
      <c r="B4651" t="s">
        <v>3</v>
      </c>
      <c r="C4651" s="1" t="str">
        <f>HYPERLINK("http://продеталь.рф/search.html?article=205162082","205162082")</f>
        <v>205162082</v>
      </c>
      <c r="D4651" t="s">
        <v>4</v>
      </c>
    </row>
    <row r="4652" spans="1:4" outlineLevel="1" x14ac:dyDescent="0.25">
      <c r="A4652" t="s">
        <v>571</v>
      </c>
      <c r="B4652" t="s">
        <v>3</v>
      </c>
      <c r="C4652" s="1" t="str">
        <f>HYPERLINK("http://продеталь.рф/search.html?article=205176082","205176082")</f>
        <v>205176082</v>
      </c>
      <c r="D4652" t="s">
        <v>4</v>
      </c>
    </row>
    <row r="4653" spans="1:4" outlineLevel="1" x14ac:dyDescent="0.25">
      <c r="A4653" t="s">
        <v>571</v>
      </c>
      <c r="B4653" t="s">
        <v>3</v>
      </c>
      <c r="C4653" s="1" t="str">
        <f>HYPERLINK("http://продеталь.рф/search.html?article=205175082","205175082")</f>
        <v>205175082</v>
      </c>
      <c r="D4653" t="s">
        <v>4</v>
      </c>
    </row>
    <row r="4654" spans="1:4" outlineLevel="1" x14ac:dyDescent="0.25">
      <c r="A4654" t="s">
        <v>571</v>
      </c>
      <c r="B4654" t="s">
        <v>3</v>
      </c>
      <c r="C4654" s="1" t="str">
        <f>HYPERLINK("http://продеталь.рф/search.html?article=203444152","203444152")</f>
        <v>203444152</v>
      </c>
      <c r="D4654" t="s">
        <v>4</v>
      </c>
    </row>
    <row r="4655" spans="1:4" outlineLevel="1" x14ac:dyDescent="0.25">
      <c r="A4655" t="s">
        <v>571</v>
      </c>
      <c r="B4655" t="s">
        <v>3</v>
      </c>
      <c r="C4655" s="1" t="str">
        <f>HYPERLINK("http://продеталь.рф/search.html?article=203443152","203443152")</f>
        <v>203443152</v>
      </c>
      <c r="D4655" t="s">
        <v>4</v>
      </c>
    </row>
    <row r="4656" spans="1:4" outlineLevel="1" x14ac:dyDescent="0.25">
      <c r="A4656" t="s">
        <v>571</v>
      </c>
      <c r="B4656" t="s">
        <v>3</v>
      </c>
      <c r="C4656" s="1" t="str">
        <f>HYPERLINK("http://продеталь.рф/search.html?article=203450052","203450052")</f>
        <v>203450052</v>
      </c>
      <c r="D4656" t="s">
        <v>4</v>
      </c>
    </row>
    <row r="4657" spans="1:4" outlineLevel="1" x14ac:dyDescent="0.25">
      <c r="A4657" t="s">
        <v>571</v>
      </c>
      <c r="B4657" t="s">
        <v>3</v>
      </c>
      <c r="C4657" s="1" t="str">
        <f>HYPERLINK("http://продеталь.рф/search.html?article=203449052","203449052")</f>
        <v>203449052</v>
      </c>
      <c r="D4657" t="s">
        <v>4</v>
      </c>
    </row>
    <row r="4658" spans="1:4" outlineLevel="1" x14ac:dyDescent="0.25">
      <c r="A4658" t="s">
        <v>571</v>
      </c>
      <c r="B4658" t="s">
        <v>5</v>
      </c>
      <c r="C4658" s="1" t="str">
        <f>HYPERLINK("http://продеталь.рф/search.html?article=211430","211430")</f>
        <v>211430</v>
      </c>
      <c r="D4658" t="s">
        <v>21</v>
      </c>
    </row>
    <row r="4659" spans="1:4" outlineLevel="1" x14ac:dyDescent="0.25">
      <c r="A4659" t="s">
        <v>571</v>
      </c>
      <c r="B4659" t="s">
        <v>52</v>
      </c>
      <c r="C4659" s="1" t="str">
        <f>HYPERLINK("http://продеталь.рф/search.html?article=RG944","RG944")</f>
        <v>RG944</v>
      </c>
      <c r="D4659" t="s">
        <v>53</v>
      </c>
    </row>
    <row r="4660" spans="1:4" outlineLevel="1" x14ac:dyDescent="0.25">
      <c r="A4660" t="s">
        <v>571</v>
      </c>
      <c r="B4660" t="s">
        <v>54</v>
      </c>
      <c r="C4660" s="1" t="str">
        <f>HYPERLINK("http://продеталь.рф/search.html?article=5076011","5076011")</f>
        <v>5076011</v>
      </c>
      <c r="D4660" t="s">
        <v>46</v>
      </c>
    </row>
    <row r="4661" spans="1:4" outlineLevel="1" x14ac:dyDescent="0.25">
      <c r="A4661" t="s">
        <v>571</v>
      </c>
      <c r="B4661" t="s">
        <v>54</v>
      </c>
      <c r="C4661" s="1" t="str">
        <f>HYPERLINK("http://продеталь.рф/search.html?article=5076012","5076012")</f>
        <v>5076012</v>
      </c>
      <c r="D4661" t="s">
        <v>46</v>
      </c>
    </row>
    <row r="4662" spans="1:4" outlineLevel="1" x14ac:dyDescent="0.25">
      <c r="A4662" t="s">
        <v>571</v>
      </c>
      <c r="B4662" t="s">
        <v>28</v>
      </c>
      <c r="C4662" s="1" t="str">
        <f>HYPERLINK("http://продеталь.рф/search.html?article=RA63054","RA63054")</f>
        <v>RA63054</v>
      </c>
      <c r="D4662" t="s">
        <v>6</v>
      </c>
    </row>
    <row r="4663" spans="1:4" outlineLevel="1" x14ac:dyDescent="0.25">
      <c r="A4663" t="s">
        <v>571</v>
      </c>
      <c r="B4663" t="s">
        <v>28</v>
      </c>
      <c r="C4663" s="1" t="str">
        <f>HYPERLINK("http://продеталь.рф/search.html?article=RA63054Q","RA63054Q")</f>
        <v>RA63054Q</v>
      </c>
      <c r="D4663" t="s">
        <v>6</v>
      </c>
    </row>
    <row r="4664" spans="1:4" outlineLevel="1" x14ac:dyDescent="0.25">
      <c r="A4664" t="s">
        <v>571</v>
      </c>
      <c r="B4664" t="s">
        <v>572</v>
      </c>
      <c r="C4664" s="1" t="str">
        <f>HYPERLINK("http://продеталь.рф/search.html?article=RP72636","RP72636")</f>
        <v>RP72636</v>
      </c>
      <c r="D4664" t="s">
        <v>6</v>
      </c>
    </row>
    <row r="4665" spans="1:4" outlineLevel="1" x14ac:dyDescent="0.25">
      <c r="A4665" t="s">
        <v>571</v>
      </c>
      <c r="B4665" t="s">
        <v>12</v>
      </c>
      <c r="C4665" s="1" t="str">
        <f>HYPERLINK("http://продеталь.рф/search.html?article=OP330930","OP330930")</f>
        <v>OP330930</v>
      </c>
      <c r="D4665" t="s">
        <v>9</v>
      </c>
    </row>
    <row r="4666" spans="1:4" outlineLevel="1" x14ac:dyDescent="0.25">
      <c r="A4666" t="s">
        <v>571</v>
      </c>
      <c r="B4666" t="s">
        <v>12</v>
      </c>
      <c r="C4666" s="1" t="str">
        <f>HYPERLINK("http://продеталь.рф/search.html?article=231701","231701")</f>
        <v>231701</v>
      </c>
      <c r="D4666" t="s">
        <v>61</v>
      </c>
    </row>
    <row r="4667" spans="1:4" outlineLevel="1" x14ac:dyDescent="0.25">
      <c r="A4667" t="s">
        <v>571</v>
      </c>
      <c r="B4667" t="s">
        <v>32</v>
      </c>
      <c r="C4667" s="1" t="str">
        <f>HYPERLINK("http://продеталь.рф/search.html?article=32500011","32500011")</f>
        <v>32500011</v>
      </c>
      <c r="D4667" t="s">
        <v>4</v>
      </c>
    </row>
    <row r="4668" spans="1:4" outlineLevel="1" x14ac:dyDescent="0.25">
      <c r="A4668" t="s">
        <v>571</v>
      </c>
      <c r="B4668" t="s">
        <v>32</v>
      </c>
      <c r="C4668" s="1" t="str">
        <f>HYPERLINK("http://продеталь.рф/search.html?article=32500021","32500021")</f>
        <v>32500021</v>
      </c>
      <c r="D4668" t="s">
        <v>4</v>
      </c>
    </row>
    <row r="4669" spans="1:4" outlineLevel="1" x14ac:dyDescent="0.25">
      <c r="A4669" t="s">
        <v>571</v>
      </c>
      <c r="B4669" t="s">
        <v>16</v>
      </c>
      <c r="C4669" s="1" t="str">
        <f>HYPERLINK("http://продеталь.рф/search.html?article=183294052","183294052")</f>
        <v>183294052</v>
      </c>
      <c r="D4669" t="s">
        <v>4</v>
      </c>
    </row>
    <row r="4670" spans="1:4" outlineLevel="1" x14ac:dyDescent="0.25">
      <c r="A4670" t="s">
        <v>571</v>
      </c>
      <c r="B4670" t="s">
        <v>16</v>
      </c>
      <c r="C4670" s="1" t="str">
        <f>HYPERLINK("http://продеталь.рф/search.html?article=183293052","183293052")</f>
        <v>183293052</v>
      </c>
      <c r="D4670" t="s">
        <v>4</v>
      </c>
    </row>
    <row r="4671" spans="1:4" outlineLevel="1" x14ac:dyDescent="0.25">
      <c r="A4671" t="s">
        <v>571</v>
      </c>
      <c r="B4671" t="s">
        <v>16</v>
      </c>
      <c r="C4671" s="1" t="str">
        <f>HYPERLINK("http://продеталь.рф/search.html?article=183316052","183316052")</f>
        <v>183316052</v>
      </c>
      <c r="D4671" t="s">
        <v>4</v>
      </c>
    </row>
    <row r="4672" spans="1:4" outlineLevel="1" x14ac:dyDescent="0.25">
      <c r="A4672" t="s">
        <v>571</v>
      </c>
      <c r="B4672" t="s">
        <v>16</v>
      </c>
      <c r="C4672" s="1" t="str">
        <f>HYPERLINK("http://продеталь.рф/search.html?article=183315052","183315052")</f>
        <v>183315052</v>
      </c>
      <c r="D4672" t="s">
        <v>4</v>
      </c>
    </row>
    <row r="4673" spans="1:4" outlineLevel="1" x14ac:dyDescent="0.25">
      <c r="A4673" t="s">
        <v>571</v>
      </c>
      <c r="B4673" t="s">
        <v>13</v>
      </c>
      <c r="C4673" s="1" t="str">
        <f>HYPERLINK("http://продеталь.рф/search.html?article=OP330000R0000","OP330000R0000")</f>
        <v>OP330000R0000</v>
      </c>
      <c r="D4673" t="s">
        <v>9</v>
      </c>
    </row>
    <row r="4674" spans="1:4" x14ac:dyDescent="0.25">
      <c r="A4674" t="s">
        <v>573</v>
      </c>
      <c r="B4674" s="2" t="s">
        <v>573</v>
      </c>
      <c r="C4674" s="2"/>
      <c r="D4674" s="2"/>
    </row>
    <row r="4675" spans="1:4" outlineLevel="1" x14ac:dyDescent="0.25">
      <c r="A4675" t="s">
        <v>573</v>
      </c>
      <c r="B4675" t="s">
        <v>11</v>
      </c>
      <c r="C4675" s="1" t="str">
        <f>HYPERLINK("http://продеталь.рф/search.html?article=027040","027040")</f>
        <v>027040</v>
      </c>
      <c r="D4675" t="s">
        <v>163</v>
      </c>
    </row>
    <row r="4676" spans="1:4" outlineLevel="1" x14ac:dyDescent="0.25">
      <c r="A4676" t="s">
        <v>573</v>
      </c>
      <c r="B4676" t="s">
        <v>11</v>
      </c>
      <c r="C4676" s="1" t="str">
        <f>HYPERLINK("http://продеталь.рф/search.html?article=27041","27041")</f>
        <v>27041</v>
      </c>
      <c r="D4676" t="s">
        <v>163</v>
      </c>
    </row>
    <row r="4677" spans="1:4" outlineLevel="1" x14ac:dyDescent="0.25">
      <c r="A4677" t="s">
        <v>573</v>
      </c>
      <c r="B4677" t="s">
        <v>11</v>
      </c>
      <c r="C4677" s="1" t="str">
        <f>HYPERLINK("http://продеталь.рф/search.html?article=OP34000002000","OP34000002000")</f>
        <v>OP34000002000</v>
      </c>
      <c r="D4677" t="s">
        <v>9</v>
      </c>
    </row>
    <row r="4678" spans="1:4" outlineLevel="1" x14ac:dyDescent="0.25">
      <c r="A4678" t="s">
        <v>573</v>
      </c>
      <c r="B4678" t="s">
        <v>11</v>
      </c>
      <c r="C4678" s="1" t="str">
        <f>HYPERLINK("http://продеталь.рф/search.html?article=OP04017BAZ","OP04017BAZ")</f>
        <v>OP04017BAZ</v>
      </c>
      <c r="D4678" t="s">
        <v>2</v>
      </c>
    </row>
    <row r="4679" spans="1:4" outlineLevel="1" x14ac:dyDescent="0.25">
      <c r="A4679" t="s">
        <v>573</v>
      </c>
      <c r="B4679" t="s">
        <v>15</v>
      </c>
      <c r="C4679" s="1" t="str">
        <f>HYPERLINK("http://продеталь.рф/search.html?article=3250043","3250043")</f>
        <v>3250043</v>
      </c>
      <c r="D4679" t="s">
        <v>4</v>
      </c>
    </row>
    <row r="4680" spans="1:4" outlineLevel="1" x14ac:dyDescent="0.25">
      <c r="A4680" t="s">
        <v>573</v>
      </c>
      <c r="B4680" t="s">
        <v>15</v>
      </c>
      <c r="C4680" s="1" t="str">
        <f>HYPERLINK("http://продеталь.рф/search.html?article=3250044","3250044")</f>
        <v>3250044</v>
      </c>
      <c r="D4680" t="s">
        <v>4</v>
      </c>
    </row>
    <row r="4681" spans="1:4" outlineLevel="1" x14ac:dyDescent="0.25">
      <c r="A4681" t="s">
        <v>573</v>
      </c>
      <c r="B4681" t="s">
        <v>159</v>
      </c>
      <c r="C4681" s="1" t="str">
        <f>HYPERLINK("http://продеталь.рф/search.html?article=8250009","8250009")</f>
        <v>8250009</v>
      </c>
      <c r="D4681" t="s">
        <v>4</v>
      </c>
    </row>
    <row r="4682" spans="1:4" outlineLevel="1" x14ac:dyDescent="0.25">
      <c r="A4682" t="s">
        <v>573</v>
      </c>
      <c r="B4682" t="s">
        <v>23</v>
      </c>
      <c r="C4682" s="1" t="str">
        <f>HYPERLINK("http://продеталь.рф/search.html?article=113347002","113347002")</f>
        <v>113347002</v>
      </c>
      <c r="D4682" t="s">
        <v>4</v>
      </c>
    </row>
    <row r="4683" spans="1:4" outlineLevel="1" x14ac:dyDescent="0.25">
      <c r="A4683" t="s">
        <v>573</v>
      </c>
      <c r="B4683" t="s">
        <v>23</v>
      </c>
      <c r="C4683" s="1" t="str">
        <f>HYPERLINK("http://продеталь.рф/search.html?article=113348002","113348002")</f>
        <v>113348002</v>
      </c>
      <c r="D4683" t="s">
        <v>4</v>
      </c>
    </row>
    <row r="4684" spans="1:4" outlineLevel="1" x14ac:dyDescent="0.25">
      <c r="A4684" t="s">
        <v>573</v>
      </c>
      <c r="B4684" t="s">
        <v>23</v>
      </c>
      <c r="C4684" s="1" t="str">
        <f>HYPERLINK("http://продеталь.рф/search.html?article=110112012","110112012")</f>
        <v>110112012</v>
      </c>
      <c r="D4684" t="s">
        <v>4</v>
      </c>
    </row>
    <row r="4685" spans="1:4" outlineLevel="1" x14ac:dyDescent="0.25">
      <c r="A4685" t="s">
        <v>573</v>
      </c>
      <c r="B4685" t="s">
        <v>23</v>
      </c>
      <c r="C4685" s="1" t="str">
        <f>HYPERLINK("http://продеталь.рф/search.html?article=110326012","110326012")</f>
        <v>110326012</v>
      </c>
      <c r="D4685" t="s">
        <v>4</v>
      </c>
    </row>
    <row r="4686" spans="1:4" outlineLevel="1" x14ac:dyDescent="0.25">
      <c r="A4686" t="s">
        <v>573</v>
      </c>
      <c r="B4686" t="s">
        <v>23</v>
      </c>
      <c r="C4686" s="1" t="str">
        <f>HYPERLINK("http://продеталь.рф/search.html?article=110325012","110325012")</f>
        <v>110325012</v>
      </c>
      <c r="D4686" t="s">
        <v>4</v>
      </c>
    </row>
    <row r="4687" spans="1:4" outlineLevel="1" x14ac:dyDescent="0.25">
      <c r="A4687" t="s">
        <v>573</v>
      </c>
      <c r="B4687" t="s">
        <v>45</v>
      </c>
      <c r="C4687" s="1" t="str">
        <f>HYPERLINK("http://продеталь.рф/search.html?article=5077581","5077581")</f>
        <v>5077581</v>
      </c>
      <c r="D4687" t="s">
        <v>46</v>
      </c>
    </row>
    <row r="4688" spans="1:4" outlineLevel="1" x14ac:dyDescent="0.25">
      <c r="A4688" t="s">
        <v>573</v>
      </c>
      <c r="B4688" t="s">
        <v>45</v>
      </c>
      <c r="C4688" s="1" t="str">
        <f>HYPERLINK("http://продеталь.рф/search.html?article=5077582","5077582")</f>
        <v>5077582</v>
      </c>
      <c r="D4688" t="s">
        <v>46</v>
      </c>
    </row>
    <row r="4689" spans="1:4" outlineLevel="1" x14ac:dyDescent="0.25">
      <c r="A4689" t="s">
        <v>573</v>
      </c>
      <c r="B4689" t="s">
        <v>1</v>
      </c>
      <c r="C4689" s="1" t="str">
        <f>HYPERLINK("http://продеталь.рф/search.html?article=16190110","16190110")</f>
        <v>16190110</v>
      </c>
      <c r="D4689" t="s">
        <v>47</v>
      </c>
    </row>
    <row r="4690" spans="1:4" outlineLevel="1" x14ac:dyDescent="0.25">
      <c r="A4690" t="s">
        <v>573</v>
      </c>
      <c r="B4690" t="s">
        <v>24</v>
      </c>
      <c r="C4690" s="1" t="str">
        <f>HYPERLINK("http://продеталь.рф/search.html?article=OP340162","OP340162")</f>
        <v>OP340162</v>
      </c>
      <c r="D4690" t="s">
        <v>9</v>
      </c>
    </row>
    <row r="4691" spans="1:4" outlineLevel="1" x14ac:dyDescent="0.25">
      <c r="A4691" t="s">
        <v>573</v>
      </c>
      <c r="B4691" t="s">
        <v>240</v>
      </c>
      <c r="C4691" s="1" t="str">
        <f>HYPERLINK("http://продеталь.рф/search.html?article=388OPC017","388OPC017")</f>
        <v>388OPC017</v>
      </c>
      <c r="D4691" t="s">
        <v>4</v>
      </c>
    </row>
    <row r="4692" spans="1:4" outlineLevel="1" x14ac:dyDescent="0.25">
      <c r="A4692" t="s">
        <v>573</v>
      </c>
      <c r="B4692" t="s">
        <v>27</v>
      </c>
      <c r="C4692" s="1" t="str">
        <f>HYPERLINK("http://продеталь.рф/search.html?article=55082020","55082020")</f>
        <v>55082020</v>
      </c>
      <c r="D4692" t="s">
        <v>49</v>
      </c>
    </row>
    <row r="4693" spans="1:4" outlineLevel="1" x14ac:dyDescent="0.25">
      <c r="A4693" t="s">
        <v>573</v>
      </c>
      <c r="B4693" t="s">
        <v>3</v>
      </c>
      <c r="C4693" s="1" t="str">
        <f>HYPERLINK("http://продеталь.рф/search.html?article=203550052","203550052")</f>
        <v>203550052</v>
      </c>
      <c r="D4693" t="s">
        <v>4</v>
      </c>
    </row>
    <row r="4694" spans="1:4" outlineLevel="1" x14ac:dyDescent="0.25">
      <c r="A4694" t="s">
        <v>573</v>
      </c>
      <c r="B4694" t="s">
        <v>3</v>
      </c>
      <c r="C4694" s="1" t="str">
        <f>HYPERLINK("http://продеталь.рф/search.html?article=205750182","205750182")</f>
        <v>205750182</v>
      </c>
      <c r="D4694" t="s">
        <v>4</v>
      </c>
    </row>
    <row r="4695" spans="1:4" outlineLevel="1" x14ac:dyDescent="0.25">
      <c r="A4695" t="s">
        <v>573</v>
      </c>
      <c r="B4695" t="s">
        <v>5</v>
      </c>
      <c r="C4695" s="1" t="str">
        <f>HYPERLINK("http://продеталь.рф/search.html?article=OP34016L2","OP34016L2")</f>
        <v>OP34016L2</v>
      </c>
      <c r="D4695" t="s">
        <v>9</v>
      </c>
    </row>
    <row r="4696" spans="1:4" outlineLevel="1" x14ac:dyDescent="0.25">
      <c r="A4696" t="s">
        <v>573</v>
      </c>
      <c r="B4696" t="s">
        <v>5</v>
      </c>
      <c r="C4696" s="1" t="str">
        <f>HYPERLINK("http://продеталь.рф/search.html?article=OP34016L1","OP34016L1")</f>
        <v>OP34016L1</v>
      </c>
      <c r="D4696" t="s">
        <v>9</v>
      </c>
    </row>
    <row r="4697" spans="1:4" outlineLevel="1" x14ac:dyDescent="0.25">
      <c r="A4697" t="s">
        <v>573</v>
      </c>
      <c r="B4697" t="s">
        <v>54</v>
      </c>
      <c r="C4697" s="1" t="str">
        <f>HYPERLINK("http://продеталь.рф/search.html?article=5077011","5077011")</f>
        <v>5077011</v>
      </c>
      <c r="D4697" t="s">
        <v>46</v>
      </c>
    </row>
    <row r="4698" spans="1:4" outlineLevel="1" x14ac:dyDescent="0.25">
      <c r="A4698" t="s">
        <v>573</v>
      </c>
      <c r="B4698" t="s">
        <v>54</v>
      </c>
      <c r="C4698" s="1" t="str">
        <f>HYPERLINK("http://продеталь.рф/search.html?article=5077012","5077012")</f>
        <v>5077012</v>
      </c>
      <c r="D4698" t="s">
        <v>46</v>
      </c>
    </row>
    <row r="4699" spans="1:4" outlineLevel="1" x14ac:dyDescent="0.25">
      <c r="A4699" t="s">
        <v>573</v>
      </c>
      <c r="B4699" t="s">
        <v>28</v>
      </c>
      <c r="C4699" s="1" t="str">
        <f>HYPERLINK("http://продеталь.рф/search.html?article=RA63069A","RA63069A")</f>
        <v>RA63069A</v>
      </c>
      <c r="D4699" t="s">
        <v>6</v>
      </c>
    </row>
    <row r="4700" spans="1:4" outlineLevel="1" x14ac:dyDescent="0.25">
      <c r="A4700" t="s">
        <v>573</v>
      </c>
      <c r="B4700" t="s">
        <v>28</v>
      </c>
      <c r="C4700" s="1" t="str">
        <f>HYPERLINK("http://продеталь.рф/search.html?article=RA630121","RA630121")</f>
        <v>RA630121</v>
      </c>
      <c r="D4700" t="s">
        <v>6</v>
      </c>
    </row>
    <row r="4701" spans="1:4" outlineLevel="1" x14ac:dyDescent="0.25">
      <c r="A4701" t="s">
        <v>573</v>
      </c>
      <c r="B4701" t="s">
        <v>28</v>
      </c>
      <c r="C4701" s="1" t="str">
        <f>HYPERLINK("http://продеталь.рф/search.html?article=RA63078","RA63078")</f>
        <v>RA63078</v>
      </c>
      <c r="D4701" t="s">
        <v>6</v>
      </c>
    </row>
    <row r="4702" spans="1:4" outlineLevel="1" x14ac:dyDescent="0.25">
      <c r="A4702" t="s">
        <v>573</v>
      </c>
      <c r="B4702" t="s">
        <v>28</v>
      </c>
      <c r="C4702" s="1" t="str">
        <f>HYPERLINK("http://продеталь.рф/search.html?article=RA63077Q","RA63077Q")</f>
        <v>RA63077Q</v>
      </c>
      <c r="D4702" t="s">
        <v>6</v>
      </c>
    </row>
    <row r="4703" spans="1:4" outlineLevel="1" x14ac:dyDescent="0.25">
      <c r="A4703" t="s">
        <v>573</v>
      </c>
      <c r="B4703" t="s">
        <v>8</v>
      </c>
      <c r="C4703" s="1" t="str">
        <f>HYPERLINK("http://продеталь.рф/search.html?article=RC94234","RC94234")</f>
        <v>RC94234</v>
      </c>
      <c r="D4703" t="s">
        <v>6</v>
      </c>
    </row>
    <row r="4704" spans="1:4" outlineLevel="1" x14ac:dyDescent="0.25">
      <c r="A4704" t="s">
        <v>573</v>
      </c>
      <c r="B4704" t="s">
        <v>39</v>
      </c>
      <c r="C4704" s="1" t="str">
        <f>HYPERLINK("http://продеталь.рф/search.html?article=AFO105","AFO105")</f>
        <v>AFO105</v>
      </c>
      <c r="D4704" t="s">
        <v>6</v>
      </c>
    </row>
    <row r="4705" spans="1:4" outlineLevel="1" x14ac:dyDescent="0.25">
      <c r="A4705" t="s">
        <v>573</v>
      </c>
      <c r="B4705" t="s">
        <v>39</v>
      </c>
      <c r="C4705" s="1" t="str">
        <f>HYPERLINK("http://продеталь.рф/search.html?article=AFO107","AFO107")</f>
        <v>AFO107</v>
      </c>
      <c r="D4705" t="s">
        <v>6</v>
      </c>
    </row>
    <row r="4706" spans="1:4" outlineLevel="1" x14ac:dyDescent="0.25">
      <c r="A4706" t="s">
        <v>573</v>
      </c>
      <c r="B4706" t="s">
        <v>40</v>
      </c>
      <c r="C4706" s="1" t="str">
        <f>HYPERLINK("http://продеталь.рф/search.html?article=101287201","101287201")</f>
        <v>101287201</v>
      </c>
      <c r="D4706" t="s">
        <v>165</v>
      </c>
    </row>
    <row r="4707" spans="1:4" outlineLevel="1" x14ac:dyDescent="0.25">
      <c r="A4707" t="s">
        <v>573</v>
      </c>
      <c r="B4707" t="s">
        <v>12</v>
      </c>
      <c r="C4707" s="1" t="str">
        <f>HYPERLINK("http://продеталь.рф/search.html?article=OP340930","OP340930")</f>
        <v>OP340930</v>
      </c>
      <c r="D4707" t="s">
        <v>9</v>
      </c>
    </row>
    <row r="4708" spans="1:4" outlineLevel="1" x14ac:dyDescent="0.25">
      <c r="A4708" t="s">
        <v>573</v>
      </c>
      <c r="B4708" t="s">
        <v>32</v>
      </c>
      <c r="C4708" s="1" t="str">
        <f>HYPERLINK("http://продеталь.рф/search.html?article=32500441","32500441")</f>
        <v>32500441</v>
      </c>
      <c r="D4708" t="s">
        <v>4</v>
      </c>
    </row>
    <row r="4709" spans="1:4" outlineLevel="1" x14ac:dyDescent="0.25">
      <c r="A4709" t="s">
        <v>573</v>
      </c>
      <c r="B4709" t="s">
        <v>32</v>
      </c>
      <c r="C4709" s="1" t="str">
        <f>HYPERLINK("http://продеталь.рф/search.html?article=32500431","32500431")</f>
        <v>32500431</v>
      </c>
      <c r="D4709" t="s">
        <v>4</v>
      </c>
    </row>
    <row r="4710" spans="1:4" outlineLevel="1" x14ac:dyDescent="0.25">
      <c r="A4710" t="s">
        <v>573</v>
      </c>
      <c r="B4710" t="s">
        <v>16</v>
      </c>
      <c r="C4710" s="1" t="str">
        <f>HYPERLINK("http://продеталь.рф/search.html?article=183404052","183404052")</f>
        <v>183404052</v>
      </c>
      <c r="D4710" t="s">
        <v>4</v>
      </c>
    </row>
    <row r="4711" spans="1:4" outlineLevel="1" x14ac:dyDescent="0.25">
      <c r="A4711" t="s">
        <v>573</v>
      </c>
      <c r="B4711" t="s">
        <v>16</v>
      </c>
      <c r="C4711" s="1" t="str">
        <f>HYPERLINK("http://продеталь.рф/search.html?article=183403052","183403052")</f>
        <v>183403052</v>
      </c>
      <c r="D4711" t="s">
        <v>4</v>
      </c>
    </row>
    <row r="4712" spans="1:4" outlineLevel="1" x14ac:dyDescent="0.25">
      <c r="A4712" t="s">
        <v>573</v>
      </c>
      <c r="B4712" t="s">
        <v>75</v>
      </c>
      <c r="C4712" s="1" t="str">
        <f>HYPERLINK("http://продеталь.рф/search.html?article=185441211","185441211")</f>
        <v>185441211</v>
      </c>
      <c r="D4712" t="s">
        <v>4</v>
      </c>
    </row>
    <row r="4713" spans="1:4" outlineLevel="1" x14ac:dyDescent="0.25">
      <c r="A4713" t="s">
        <v>573</v>
      </c>
      <c r="B4713" t="s">
        <v>75</v>
      </c>
      <c r="C4713" s="1" t="str">
        <f>HYPERLINK("http://продеталь.рф/search.html?article=185441001","185441001")</f>
        <v>185441001</v>
      </c>
      <c r="D4713" t="s">
        <v>4</v>
      </c>
    </row>
    <row r="4714" spans="1:4" x14ac:dyDescent="0.25">
      <c r="A4714" t="s">
        <v>574</v>
      </c>
      <c r="B4714" s="2" t="s">
        <v>574</v>
      </c>
      <c r="C4714" s="2"/>
      <c r="D4714" s="2"/>
    </row>
    <row r="4715" spans="1:4" outlineLevel="1" x14ac:dyDescent="0.25">
      <c r="A4715" t="s">
        <v>574</v>
      </c>
      <c r="B4715" t="s">
        <v>11</v>
      </c>
      <c r="C4715" s="1" t="str">
        <f>HYPERLINK("http://продеталь.рф/search.html?article=OP04029BA","OP04029BA")</f>
        <v>OP04029BA</v>
      </c>
      <c r="D4715" t="s">
        <v>2</v>
      </c>
    </row>
    <row r="4716" spans="1:4" outlineLevel="1" x14ac:dyDescent="0.25">
      <c r="A4716" t="s">
        <v>574</v>
      </c>
      <c r="B4716" t="s">
        <v>11</v>
      </c>
      <c r="C4716" s="1" t="str">
        <f>HYPERLINK("http://продеталь.рф/search.html?article=OP04047BA","OP04047BA")</f>
        <v>OP04047BA</v>
      </c>
      <c r="D4716" t="s">
        <v>2</v>
      </c>
    </row>
    <row r="4717" spans="1:4" outlineLevel="1" x14ac:dyDescent="0.25">
      <c r="A4717" t="s">
        <v>574</v>
      </c>
      <c r="B4717" t="s">
        <v>79</v>
      </c>
      <c r="C4717" s="1" t="str">
        <f>HYPERLINK("http://продеталь.рф/search.html?article=OP350040","OP350040")</f>
        <v>OP350040</v>
      </c>
      <c r="D4717" t="s">
        <v>9</v>
      </c>
    </row>
    <row r="4718" spans="1:4" outlineLevel="1" x14ac:dyDescent="0.25">
      <c r="A4718" t="s">
        <v>574</v>
      </c>
      <c r="B4718" t="s">
        <v>23</v>
      </c>
      <c r="C4718" s="1" t="str">
        <f>HYPERLINK("http://продеталь.рф/search.html?article=110318112","110318112")</f>
        <v>110318112</v>
      </c>
      <c r="D4718" t="s">
        <v>4</v>
      </c>
    </row>
    <row r="4719" spans="1:4" outlineLevel="1" x14ac:dyDescent="0.25">
      <c r="A4719" t="s">
        <v>574</v>
      </c>
      <c r="B4719" t="s">
        <v>23</v>
      </c>
      <c r="C4719" s="1" t="str">
        <f>HYPERLINK("http://продеталь.рф/search.html?article=110317112","110317112")</f>
        <v>110317112</v>
      </c>
      <c r="D4719" t="s">
        <v>4</v>
      </c>
    </row>
    <row r="4720" spans="1:4" outlineLevel="1" x14ac:dyDescent="0.25">
      <c r="A4720" t="s">
        <v>574</v>
      </c>
      <c r="B4720" t="s">
        <v>1</v>
      </c>
      <c r="C4720" s="1" t="str">
        <f>HYPERLINK("http://продеталь.рф/search.html?article=POP20016A","POP20016A")</f>
        <v>POP20016A</v>
      </c>
      <c r="D4720" t="s">
        <v>6</v>
      </c>
    </row>
    <row r="4721" spans="1:4" outlineLevel="1" x14ac:dyDescent="0.25">
      <c r="A4721" t="s">
        <v>574</v>
      </c>
      <c r="B4721" t="s">
        <v>1</v>
      </c>
      <c r="C4721" s="1" t="str">
        <f>HYPERLINK("http://продеталь.рф/search.html?article=OP36001500000","OP36001500000")</f>
        <v>OP36001500000</v>
      </c>
      <c r="D4721" t="s">
        <v>9</v>
      </c>
    </row>
    <row r="4722" spans="1:4" outlineLevel="1" x14ac:dyDescent="0.25">
      <c r="A4722" t="s">
        <v>574</v>
      </c>
      <c r="B4722" t="s">
        <v>24</v>
      </c>
      <c r="C4722" s="1" t="str">
        <f>HYPERLINK("http://продеталь.рф/search.html?article=OP350161","OP350161")</f>
        <v>OP350161</v>
      </c>
      <c r="D4722" t="s">
        <v>9</v>
      </c>
    </row>
    <row r="4723" spans="1:4" outlineLevel="1" x14ac:dyDescent="0.25">
      <c r="A4723" t="s">
        <v>574</v>
      </c>
      <c r="B4723" t="s">
        <v>27</v>
      </c>
      <c r="C4723" s="1" t="str">
        <f>HYPERLINK("http://продеталь.рф/search.html?article=00733470","00733470")</f>
        <v>00733470</v>
      </c>
      <c r="D4723" t="s">
        <v>2</v>
      </c>
    </row>
    <row r="4724" spans="1:4" outlineLevel="1" x14ac:dyDescent="0.25">
      <c r="A4724" t="s">
        <v>574</v>
      </c>
      <c r="B4724" t="s">
        <v>27</v>
      </c>
      <c r="C4724" s="1" t="str">
        <f>HYPERLINK("http://продеталь.рф/search.html?article=OP36000900000","OP36000900000")</f>
        <v>OP36000900000</v>
      </c>
      <c r="D4724" t="s">
        <v>9</v>
      </c>
    </row>
    <row r="4725" spans="1:4" outlineLevel="1" x14ac:dyDescent="0.25">
      <c r="A4725" t="s">
        <v>574</v>
      </c>
      <c r="B4725" t="s">
        <v>3</v>
      </c>
      <c r="C4725" s="1" t="str">
        <f>HYPERLINK("http://продеталь.рф/search.html?article=200285052","200285052")</f>
        <v>200285052</v>
      </c>
      <c r="D4725" t="s">
        <v>4</v>
      </c>
    </row>
    <row r="4726" spans="1:4" outlineLevel="1" x14ac:dyDescent="0.25">
      <c r="A4726" t="s">
        <v>574</v>
      </c>
      <c r="B4726" t="s">
        <v>3</v>
      </c>
      <c r="C4726" s="1" t="str">
        <f>HYPERLINK("http://продеталь.рф/search.html?article=200286152","200286152")</f>
        <v>200286152</v>
      </c>
      <c r="D4726" t="s">
        <v>4</v>
      </c>
    </row>
    <row r="4727" spans="1:4" outlineLevel="1" x14ac:dyDescent="0.25">
      <c r="A4727" t="s">
        <v>574</v>
      </c>
      <c r="B4727" t="s">
        <v>3</v>
      </c>
      <c r="C4727" s="1" t="str">
        <f>HYPERLINK("http://продеталь.рф/search.html?article=201042152","201042152")</f>
        <v>201042152</v>
      </c>
      <c r="D4727" t="s">
        <v>4</v>
      </c>
    </row>
    <row r="4728" spans="1:4" outlineLevel="1" x14ac:dyDescent="0.25">
      <c r="A4728" t="s">
        <v>574</v>
      </c>
      <c r="B4728" t="s">
        <v>5</v>
      </c>
      <c r="C4728" s="1" t="str">
        <f>HYPERLINK("http://продеталь.рф/search.html?article=211453","211453")</f>
        <v>211453</v>
      </c>
      <c r="D4728" t="s">
        <v>21</v>
      </c>
    </row>
    <row r="4729" spans="1:4" outlineLevel="1" x14ac:dyDescent="0.25">
      <c r="A4729" t="s">
        <v>574</v>
      </c>
      <c r="B4729" t="s">
        <v>5</v>
      </c>
      <c r="C4729" s="1" t="str">
        <f>HYPERLINK("http://продеталь.рф/search.html?article=211454","211454")</f>
        <v>211454</v>
      </c>
      <c r="D4729" t="s">
        <v>21</v>
      </c>
    </row>
    <row r="4730" spans="1:4" outlineLevel="1" x14ac:dyDescent="0.25">
      <c r="A4730" t="s">
        <v>574</v>
      </c>
      <c r="B4730" t="s">
        <v>19</v>
      </c>
      <c r="C4730" s="1" t="str">
        <f>HYPERLINK("http://продеталь.рф/search.html?article=190110052","190110052")</f>
        <v>190110052</v>
      </c>
      <c r="D4730" t="s">
        <v>4</v>
      </c>
    </row>
    <row r="4731" spans="1:4" outlineLevel="1" x14ac:dyDescent="0.25">
      <c r="A4731" t="s">
        <v>574</v>
      </c>
      <c r="B4731" t="s">
        <v>19</v>
      </c>
      <c r="C4731" s="1" t="str">
        <f>HYPERLINK("http://продеталь.рф/search.html?article=190109052","190109052")</f>
        <v>190109052</v>
      </c>
      <c r="D4731" t="s">
        <v>4</v>
      </c>
    </row>
    <row r="4732" spans="1:4" outlineLevel="1" x14ac:dyDescent="0.25">
      <c r="A4732" t="s">
        <v>574</v>
      </c>
      <c r="B4732" t="s">
        <v>19</v>
      </c>
      <c r="C4732" s="1" t="str">
        <f>HYPERLINK("http://продеталь.рф/search.html?article=190725052","190725052")</f>
        <v>190725052</v>
      </c>
      <c r="D4732" t="s">
        <v>4</v>
      </c>
    </row>
    <row r="4733" spans="1:4" outlineLevel="1" x14ac:dyDescent="0.25">
      <c r="A4733" t="s">
        <v>574</v>
      </c>
      <c r="B4733" t="s">
        <v>40</v>
      </c>
      <c r="C4733" s="1" t="str">
        <f>HYPERLINK("http://продеталь.рф/search.html?article=OP35000G2","OP35000G2")</f>
        <v>OP35000G2</v>
      </c>
      <c r="D4733" t="s">
        <v>9</v>
      </c>
    </row>
    <row r="4734" spans="1:4" outlineLevel="1" x14ac:dyDescent="0.25">
      <c r="A4734" t="s">
        <v>574</v>
      </c>
      <c r="B4734" t="s">
        <v>40</v>
      </c>
      <c r="C4734" s="1" t="str">
        <f>HYPERLINK("http://продеталь.рф/search.html?article=POP99032GA","POP99032GA")</f>
        <v>POP99032GA</v>
      </c>
      <c r="D4734" t="s">
        <v>6</v>
      </c>
    </row>
    <row r="4735" spans="1:4" outlineLevel="1" x14ac:dyDescent="0.25">
      <c r="A4735" t="s">
        <v>574</v>
      </c>
      <c r="B4735" t="s">
        <v>75</v>
      </c>
      <c r="C4735" s="1" t="str">
        <f>HYPERLINK("http://продеталь.рф/search.html?article=180233152","180233152")</f>
        <v>180233152</v>
      </c>
      <c r="D4735" t="s">
        <v>4</v>
      </c>
    </row>
    <row r="4736" spans="1:4" outlineLevel="1" x14ac:dyDescent="0.25">
      <c r="A4736" t="s">
        <v>574</v>
      </c>
      <c r="B4736" t="s">
        <v>13</v>
      </c>
      <c r="C4736" s="1" t="str">
        <f>HYPERLINK("http://продеталь.рф/search.html?article=OP350000R0000","OP350000R0000")</f>
        <v>OP350000R0000</v>
      </c>
      <c r="D4736" t="s">
        <v>9</v>
      </c>
    </row>
    <row r="4737" spans="1:4" x14ac:dyDescent="0.25">
      <c r="A4737" t="s">
        <v>575</v>
      </c>
      <c r="B4737" s="2" t="s">
        <v>575</v>
      </c>
      <c r="C4737" s="2"/>
      <c r="D4737" s="2"/>
    </row>
    <row r="4738" spans="1:4" outlineLevel="1" x14ac:dyDescent="0.25">
      <c r="A4738" t="s">
        <v>575</v>
      </c>
      <c r="B4738" t="s">
        <v>576</v>
      </c>
      <c r="C4738" s="1" t="str">
        <f>HYPERLINK("http://продеталь.рф/search.html?article=OP04024BA","OP04024BA")</f>
        <v>OP04024BA</v>
      </c>
      <c r="D4738" t="s">
        <v>2</v>
      </c>
    </row>
    <row r="4739" spans="1:4" outlineLevel="1" x14ac:dyDescent="0.25">
      <c r="A4739" t="s">
        <v>575</v>
      </c>
      <c r="B4739" t="s">
        <v>23</v>
      </c>
      <c r="C4739" s="1" t="str">
        <f>HYPERLINK("http://продеталь.рф/search.html?article=110114012","110114012")</f>
        <v>110114012</v>
      </c>
      <c r="D4739" t="s">
        <v>4</v>
      </c>
    </row>
    <row r="4740" spans="1:4" outlineLevel="1" x14ac:dyDescent="0.25">
      <c r="A4740" t="s">
        <v>575</v>
      </c>
      <c r="B4740" t="s">
        <v>23</v>
      </c>
      <c r="C4740" s="1" t="str">
        <f>HYPERLINK("http://продеталь.рф/search.html?article=110113012","110113012")</f>
        <v>110113012</v>
      </c>
      <c r="D4740" t="s">
        <v>4</v>
      </c>
    </row>
    <row r="4741" spans="1:4" outlineLevel="1" x14ac:dyDescent="0.25">
      <c r="A4741" t="s">
        <v>575</v>
      </c>
      <c r="B4741" t="s">
        <v>3</v>
      </c>
      <c r="C4741" s="1" t="str">
        <f>HYPERLINK("http://продеталь.рф/search.html?article=205738082","205738082")</f>
        <v>205738082</v>
      </c>
      <c r="D4741" t="s">
        <v>4</v>
      </c>
    </row>
    <row r="4742" spans="1:4" outlineLevel="1" x14ac:dyDescent="0.25">
      <c r="A4742" t="s">
        <v>575</v>
      </c>
      <c r="B4742" t="s">
        <v>3</v>
      </c>
      <c r="C4742" s="1" t="str">
        <f>HYPERLINK("http://продеталь.рф/search.html?article=205737082","205737082")</f>
        <v>205737082</v>
      </c>
      <c r="D4742" t="s">
        <v>4</v>
      </c>
    </row>
    <row r="4743" spans="1:4" outlineLevel="1" x14ac:dyDescent="0.25">
      <c r="A4743" t="s">
        <v>575</v>
      </c>
      <c r="B4743" t="s">
        <v>5</v>
      </c>
      <c r="C4743" s="1" t="str">
        <f>HYPERLINK("http://продеталь.рф/search.html?article=211443","211443")</f>
        <v>211443</v>
      </c>
      <c r="D4743" t="s">
        <v>21</v>
      </c>
    </row>
    <row r="4744" spans="1:4" outlineLevel="1" x14ac:dyDescent="0.25">
      <c r="A4744" t="s">
        <v>575</v>
      </c>
      <c r="B4744" t="s">
        <v>54</v>
      </c>
      <c r="C4744" s="1" t="str">
        <f>HYPERLINK("http://продеталь.рф/search.html?article=POP76016ER","POP76016ER")</f>
        <v>POP76016ER</v>
      </c>
      <c r="D4744" t="s">
        <v>6</v>
      </c>
    </row>
    <row r="4745" spans="1:4" outlineLevel="1" x14ac:dyDescent="0.25">
      <c r="A4745" t="s">
        <v>575</v>
      </c>
      <c r="B4745" t="s">
        <v>19</v>
      </c>
      <c r="C4745" s="1" t="str">
        <f>HYPERLINK("http://продеталь.рф/search.html?article=190146052","190146052")</f>
        <v>190146052</v>
      </c>
      <c r="D4745" t="s">
        <v>4</v>
      </c>
    </row>
    <row r="4746" spans="1:4" outlineLevel="1" x14ac:dyDescent="0.25">
      <c r="A4746" t="s">
        <v>575</v>
      </c>
      <c r="B4746" t="s">
        <v>12</v>
      </c>
      <c r="C4746" s="1" t="str">
        <f>HYPERLINK("http://продеталь.рф/search.html?article=232501","232501")</f>
        <v>232501</v>
      </c>
      <c r="D4746" t="s">
        <v>61</v>
      </c>
    </row>
    <row r="4747" spans="1:4" outlineLevel="1" x14ac:dyDescent="0.25">
      <c r="A4747" t="s">
        <v>575</v>
      </c>
      <c r="B4747" t="s">
        <v>32</v>
      </c>
      <c r="C4747" s="1" t="str">
        <f>HYPERLINK("http://продеталь.рф/search.html?article=SOPM1014ER","SOPM1014ER")</f>
        <v>SOPM1014ER</v>
      </c>
      <c r="D4747" t="s">
        <v>6</v>
      </c>
    </row>
    <row r="4748" spans="1:4" outlineLevel="1" x14ac:dyDescent="0.25">
      <c r="A4748" t="s">
        <v>575</v>
      </c>
      <c r="B4748" t="s">
        <v>32</v>
      </c>
      <c r="C4748" s="1" t="str">
        <f>HYPERLINK("http://продеталь.рф/search.html?article=SOPM1014EL","SOPM1014EL")</f>
        <v>SOPM1014EL</v>
      </c>
      <c r="D4748" t="s">
        <v>6</v>
      </c>
    </row>
    <row r="4749" spans="1:4" outlineLevel="1" x14ac:dyDescent="0.25">
      <c r="A4749" t="s">
        <v>575</v>
      </c>
      <c r="B4749" t="s">
        <v>13</v>
      </c>
      <c r="C4749" s="1" t="str">
        <f>HYPERLINK("http://продеталь.рф/search.html?article=OP80000RA0","OP80000RA0")</f>
        <v>OP80000RA0</v>
      </c>
      <c r="D4749" t="s">
        <v>9</v>
      </c>
    </row>
    <row r="4750" spans="1:4" x14ac:dyDescent="0.25">
      <c r="A4750" t="s">
        <v>577</v>
      </c>
      <c r="B4750" s="2" t="s">
        <v>577</v>
      </c>
      <c r="C4750" s="2"/>
      <c r="D4750" s="2"/>
    </row>
    <row r="4751" spans="1:4" outlineLevel="1" x14ac:dyDescent="0.25">
      <c r="A4751" t="s">
        <v>577</v>
      </c>
      <c r="B4751" t="s">
        <v>11</v>
      </c>
      <c r="C4751" s="1" t="str">
        <f>HYPERLINK("http://продеталь.рф/search.html?article=POP04051BA","POP04051BA")</f>
        <v>POP04051BA</v>
      </c>
      <c r="D4751" t="s">
        <v>6</v>
      </c>
    </row>
    <row r="4752" spans="1:4" outlineLevel="1" x14ac:dyDescent="0.25">
      <c r="A4752" t="s">
        <v>577</v>
      </c>
      <c r="B4752" t="s">
        <v>11</v>
      </c>
      <c r="C4752" s="1" t="str">
        <f>HYPERLINK("http://продеталь.рф/search.html?article=0732111","0732111")</f>
        <v>0732111</v>
      </c>
      <c r="D4752" t="s">
        <v>58</v>
      </c>
    </row>
    <row r="4753" spans="1:4" outlineLevel="1" x14ac:dyDescent="0.25">
      <c r="A4753" t="s">
        <v>577</v>
      </c>
      <c r="B4753" t="s">
        <v>1</v>
      </c>
      <c r="C4753" s="1" t="str">
        <f>HYPERLINK("http://продеталь.рф/search.html?article=POP20022A","POP20022A")</f>
        <v>POP20022A</v>
      </c>
      <c r="D4753" t="s">
        <v>6</v>
      </c>
    </row>
    <row r="4754" spans="1:4" outlineLevel="1" x14ac:dyDescent="0.25">
      <c r="A4754" t="s">
        <v>577</v>
      </c>
      <c r="B4754" t="s">
        <v>24</v>
      </c>
      <c r="C4754" s="1" t="str">
        <f>HYPERLINK("http://продеталь.рф/search.html?article=POP10032AL","POP10032AL")</f>
        <v>POP10032AL</v>
      </c>
      <c r="D4754" t="s">
        <v>6</v>
      </c>
    </row>
    <row r="4755" spans="1:4" outlineLevel="1" x14ac:dyDescent="0.25">
      <c r="A4755" t="s">
        <v>577</v>
      </c>
      <c r="B4755" t="s">
        <v>26</v>
      </c>
      <c r="C4755" s="1" t="str">
        <f>HYPERLINK("http://продеталь.рф/search.html?article=OP04051MAL","OP04051MAL")</f>
        <v>OP04051MAL</v>
      </c>
      <c r="D4755" t="s">
        <v>2</v>
      </c>
    </row>
    <row r="4756" spans="1:4" outlineLevel="1" x14ac:dyDescent="0.25">
      <c r="A4756" t="s">
        <v>577</v>
      </c>
      <c r="B4756" t="s">
        <v>27</v>
      </c>
      <c r="C4756" s="1" t="str">
        <f>HYPERLINK("http://продеталь.рф/search.html?article=OP30017AU","OP30017AU")</f>
        <v>OP30017AU</v>
      </c>
      <c r="D4756" t="s">
        <v>2</v>
      </c>
    </row>
    <row r="4757" spans="1:4" outlineLevel="1" x14ac:dyDescent="0.25">
      <c r="A4757" t="s">
        <v>577</v>
      </c>
      <c r="B4757" t="s">
        <v>5</v>
      </c>
      <c r="C4757" s="1" t="str">
        <f>HYPERLINK("http://продеталь.рф/search.html?article=211461A","211461A")</f>
        <v>211461A</v>
      </c>
      <c r="D4757" t="s">
        <v>21</v>
      </c>
    </row>
    <row r="4758" spans="1:4" outlineLevel="1" x14ac:dyDescent="0.25">
      <c r="A4758" t="s">
        <v>577</v>
      </c>
      <c r="B4758" t="s">
        <v>5</v>
      </c>
      <c r="C4758" s="1" t="str">
        <f>HYPERLINK("http://продеталь.рф/search.html?article=211461B","211461B")</f>
        <v>211461B</v>
      </c>
      <c r="D4758" t="s">
        <v>21</v>
      </c>
    </row>
    <row r="4759" spans="1:4" outlineLevel="1" x14ac:dyDescent="0.25">
      <c r="A4759" t="s">
        <v>577</v>
      </c>
      <c r="B4759" t="s">
        <v>28</v>
      </c>
      <c r="C4759" s="1" t="str">
        <f>HYPERLINK("http://продеталь.рф/search.html?article=RA63111Q","RA63111Q")</f>
        <v>RA63111Q</v>
      </c>
      <c r="D4759" t="s">
        <v>6</v>
      </c>
    </row>
    <row r="4760" spans="1:4" outlineLevel="1" x14ac:dyDescent="0.25">
      <c r="A4760" t="s">
        <v>577</v>
      </c>
      <c r="B4760" t="s">
        <v>263</v>
      </c>
      <c r="C4760" s="1" t="str">
        <f>HYPERLINK("http://продеталь.рф/search.html?article=OP30017AL","OP30017AL")</f>
        <v>OP30017AL</v>
      </c>
      <c r="D4760" t="s">
        <v>2</v>
      </c>
    </row>
    <row r="4761" spans="1:4" outlineLevel="1" x14ac:dyDescent="0.25">
      <c r="A4761" t="s">
        <v>577</v>
      </c>
      <c r="B4761" t="s">
        <v>263</v>
      </c>
      <c r="C4761" s="1" t="str">
        <f>HYPERLINK("http://продеталь.рф/search.html?article=OP30017AR","OP30017AR")</f>
        <v>OP30017AR</v>
      </c>
      <c r="D4761" t="s">
        <v>2</v>
      </c>
    </row>
    <row r="4762" spans="1:4" outlineLevel="1" x14ac:dyDescent="0.25">
      <c r="A4762" t="s">
        <v>577</v>
      </c>
      <c r="B4762" t="s">
        <v>55</v>
      </c>
      <c r="C4762" s="1" t="str">
        <f>HYPERLINK("http://продеталь.рф/search.html?article=OP07027MA","OP07027MA")</f>
        <v>OP07027MA</v>
      </c>
      <c r="D4762" t="s">
        <v>2</v>
      </c>
    </row>
    <row r="4763" spans="1:4" outlineLevel="1" x14ac:dyDescent="0.25">
      <c r="A4763" t="s">
        <v>577</v>
      </c>
      <c r="B4763" t="s">
        <v>30</v>
      </c>
      <c r="C4763" s="1" t="str">
        <f>HYPERLINK("http://продеталь.рф/search.html?article=0713718","0713718")</f>
        <v>0713718</v>
      </c>
      <c r="D4763" t="s">
        <v>58</v>
      </c>
    </row>
    <row r="4764" spans="1:4" outlineLevel="1" x14ac:dyDescent="0.25">
      <c r="A4764" t="s">
        <v>577</v>
      </c>
      <c r="B4764" t="s">
        <v>12</v>
      </c>
      <c r="C4764" s="1" t="str">
        <f>HYPERLINK("http://продеталь.рф/search.html?article=OP07027GA","OP07027GA")</f>
        <v>OP07027GA</v>
      </c>
      <c r="D4764" t="s">
        <v>2</v>
      </c>
    </row>
    <row r="4765" spans="1:4" outlineLevel="1" x14ac:dyDescent="0.25">
      <c r="A4765" t="s">
        <v>577</v>
      </c>
      <c r="B4765" t="s">
        <v>71</v>
      </c>
      <c r="C4765" s="1" t="str">
        <f>HYPERLINK("http://продеталь.рф/search.html?article=OP05004VAL","OP05004VAL")</f>
        <v>OP05004VAL</v>
      </c>
      <c r="D4765" t="s">
        <v>2</v>
      </c>
    </row>
    <row r="4766" spans="1:4" outlineLevel="1" x14ac:dyDescent="0.25">
      <c r="A4766" t="s">
        <v>577</v>
      </c>
      <c r="B4766" t="s">
        <v>71</v>
      </c>
      <c r="C4766" s="1" t="str">
        <f>HYPERLINK("http://продеталь.рф/search.html?article=OP05004VAR","OP05004VAR")</f>
        <v>OP05004VAR</v>
      </c>
      <c r="D4766" t="s">
        <v>2</v>
      </c>
    </row>
    <row r="4767" spans="1:4" outlineLevel="1" x14ac:dyDescent="0.25">
      <c r="A4767" t="s">
        <v>577</v>
      </c>
      <c r="B4767" t="s">
        <v>32</v>
      </c>
      <c r="C4767" s="1" t="str">
        <f>HYPERLINK("http://продеталь.рф/search.html?article=OPM1014HGLE","OPM1014HGLE")</f>
        <v>OPM1014HGLE</v>
      </c>
      <c r="D4767" t="s">
        <v>2</v>
      </c>
    </row>
    <row r="4768" spans="1:4" outlineLevel="1" x14ac:dyDescent="0.25">
      <c r="A4768" t="s">
        <v>577</v>
      </c>
      <c r="B4768" t="s">
        <v>32</v>
      </c>
      <c r="C4768" s="1" t="str">
        <f>HYPERLINK("http://продеталь.рф/search.html?article=OPM1014HGRE","OPM1014HGRE")</f>
        <v>OPM1014HGRE</v>
      </c>
      <c r="D4768" t="s">
        <v>2</v>
      </c>
    </row>
    <row r="4769" spans="1:4" outlineLevel="1" x14ac:dyDescent="0.25">
      <c r="A4769" t="s">
        <v>577</v>
      </c>
      <c r="B4769" t="s">
        <v>32</v>
      </c>
      <c r="C4769" s="1" t="str">
        <f>HYPERLINK("http://продеталь.рф/search.html?article=OP801941G0L00","OP801941G0L00")</f>
        <v>OP801941G0L00</v>
      </c>
      <c r="D4769" t="s">
        <v>9</v>
      </c>
    </row>
    <row r="4770" spans="1:4" outlineLevel="1" x14ac:dyDescent="0.25">
      <c r="A4770" t="s">
        <v>577</v>
      </c>
      <c r="B4770" t="s">
        <v>32</v>
      </c>
      <c r="C4770" s="1" t="str">
        <f>HYPERLINK("http://продеталь.рф/search.html?article=OP801941G0R00","OP801941G0R00")</f>
        <v>OP801941G0R00</v>
      </c>
      <c r="D4770" t="s">
        <v>9</v>
      </c>
    </row>
    <row r="4771" spans="1:4" x14ac:dyDescent="0.25">
      <c r="A4771" t="s">
        <v>578</v>
      </c>
      <c r="B4771" s="2" t="s">
        <v>578</v>
      </c>
      <c r="C4771" s="2"/>
      <c r="D4771" s="2"/>
    </row>
    <row r="4772" spans="1:4" outlineLevel="1" x14ac:dyDescent="0.25">
      <c r="A4772" t="s">
        <v>578</v>
      </c>
      <c r="B4772" t="s">
        <v>16</v>
      </c>
      <c r="C4772" s="1" t="str">
        <f>HYPERLINK("http://продеталь.рф/search.html?article=ZPG1507CR","ZPG1507CR")</f>
        <v>ZPG1507CR</v>
      </c>
      <c r="D4772" t="s">
        <v>6</v>
      </c>
    </row>
    <row r="4773" spans="1:4" x14ac:dyDescent="0.25">
      <c r="A4773" t="s">
        <v>579</v>
      </c>
      <c r="B4773" s="2" t="s">
        <v>579</v>
      </c>
      <c r="C4773" s="2"/>
      <c r="D4773" s="2"/>
    </row>
    <row r="4774" spans="1:4" outlineLevel="1" x14ac:dyDescent="0.25">
      <c r="A4774" t="s">
        <v>579</v>
      </c>
      <c r="B4774" t="s">
        <v>3</v>
      </c>
      <c r="C4774" s="1" t="str">
        <f>HYPERLINK("http://продеталь.рф/search.html?article=203744052","203744052")</f>
        <v>203744052</v>
      </c>
      <c r="D4774" t="s">
        <v>4</v>
      </c>
    </row>
    <row r="4775" spans="1:4" x14ac:dyDescent="0.25">
      <c r="A4775" t="s">
        <v>580</v>
      </c>
      <c r="B4775" s="2" t="s">
        <v>580</v>
      </c>
      <c r="C4775" s="2"/>
      <c r="D4775" s="2"/>
    </row>
    <row r="4776" spans="1:4" outlineLevel="1" x14ac:dyDescent="0.25">
      <c r="A4776" t="s">
        <v>580</v>
      </c>
      <c r="B4776" t="s">
        <v>11</v>
      </c>
      <c r="C4776" s="1" t="str">
        <f>HYPERLINK("http://продеталь.рф/search.html?article=P732","P732")</f>
        <v>P732</v>
      </c>
      <c r="D4776" t="s">
        <v>18</v>
      </c>
    </row>
    <row r="4777" spans="1:4" outlineLevel="1" x14ac:dyDescent="0.25">
      <c r="A4777" t="s">
        <v>580</v>
      </c>
      <c r="B4777" t="s">
        <v>1</v>
      </c>
      <c r="C4777" s="1" t="str">
        <f>HYPERLINK("http://продеталь.рф/search.html?article=PG20020A","PG20020A")</f>
        <v>PG20020A</v>
      </c>
      <c r="D4777" t="s">
        <v>2</v>
      </c>
    </row>
    <row r="4778" spans="1:4" outlineLevel="1" x14ac:dyDescent="0.25">
      <c r="A4778" t="s">
        <v>580</v>
      </c>
      <c r="B4778" t="s">
        <v>24</v>
      </c>
      <c r="C4778" s="1" t="str">
        <f>HYPERLINK("http://продеталь.рф/search.html?article=PPG10026AL","PPG10026AL")</f>
        <v>PPG10026AL</v>
      </c>
      <c r="D4778" t="s">
        <v>6</v>
      </c>
    </row>
    <row r="4779" spans="1:4" outlineLevel="1" x14ac:dyDescent="0.25">
      <c r="A4779" t="s">
        <v>580</v>
      </c>
      <c r="B4779" t="s">
        <v>3</v>
      </c>
      <c r="C4779" s="1" t="str">
        <f>HYPERLINK("http://продеталь.рф/search.html?article=2011608052","2011608052")</f>
        <v>2011608052</v>
      </c>
      <c r="D4779" t="s">
        <v>4</v>
      </c>
    </row>
    <row r="4780" spans="1:4" outlineLevel="1" x14ac:dyDescent="0.25">
      <c r="A4780" t="s">
        <v>580</v>
      </c>
      <c r="B4780" t="s">
        <v>3</v>
      </c>
      <c r="C4780" s="1" t="str">
        <f>HYPERLINK("http://продеталь.рф/search.html?article=2011607052","2011607052")</f>
        <v>2011607052</v>
      </c>
      <c r="D4780" t="s">
        <v>4</v>
      </c>
    </row>
    <row r="4781" spans="1:4" outlineLevel="1" x14ac:dyDescent="0.25">
      <c r="A4781" t="s">
        <v>580</v>
      </c>
      <c r="B4781" t="s">
        <v>5</v>
      </c>
      <c r="C4781" s="1" t="str">
        <f>HYPERLINK("http://продеталь.рф/search.html?article=212829","212829")</f>
        <v>212829</v>
      </c>
      <c r="D4781" t="s">
        <v>21</v>
      </c>
    </row>
    <row r="4782" spans="1:4" outlineLevel="1" x14ac:dyDescent="0.25">
      <c r="A4782" t="s">
        <v>580</v>
      </c>
      <c r="B4782" t="s">
        <v>5</v>
      </c>
      <c r="C4782" s="1" t="str">
        <f>HYPERLINK("http://продеталь.рф/search.html?article=212830","212830")</f>
        <v>212830</v>
      </c>
      <c r="D4782" t="s">
        <v>21</v>
      </c>
    </row>
    <row r="4783" spans="1:4" outlineLevel="1" x14ac:dyDescent="0.25">
      <c r="A4783" t="s">
        <v>580</v>
      </c>
      <c r="B4783" t="s">
        <v>13</v>
      </c>
      <c r="C4783" s="1" t="str">
        <f>HYPERLINK("http://продеталь.рф/search.html?article=PG170000R0000","PG170000R0000")</f>
        <v>PG170000R0000</v>
      </c>
      <c r="D4783" t="s">
        <v>9</v>
      </c>
    </row>
    <row r="4784" spans="1:4" x14ac:dyDescent="0.25">
      <c r="A4784" t="s">
        <v>581</v>
      </c>
      <c r="B4784" s="2" t="s">
        <v>581</v>
      </c>
      <c r="C4784" s="2"/>
      <c r="D4784" s="2"/>
    </row>
    <row r="4785" spans="1:4" outlineLevel="1" x14ac:dyDescent="0.25">
      <c r="A4785" t="s">
        <v>581</v>
      </c>
      <c r="B4785" t="s">
        <v>15</v>
      </c>
      <c r="C4785" s="1" t="str">
        <f>HYPERLINK("http://продеталь.рф/search.html?article=VPGM1012ML","VPGM1012ML")</f>
        <v>VPGM1012ML</v>
      </c>
      <c r="D4785" t="s">
        <v>6</v>
      </c>
    </row>
    <row r="4786" spans="1:4" x14ac:dyDescent="0.25">
      <c r="A4786" t="s">
        <v>582</v>
      </c>
      <c r="B4786" s="2" t="s">
        <v>582</v>
      </c>
      <c r="C4786" s="2"/>
      <c r="D4786" s="2"/>
    </row>
    <row r="4787" spans="1:4" outlineLevel="1" x14ac:dyDescent="0.25">
      <c r="A4787" t="s">
        <v>582</v>
      </c>
      <c r="B4787" t="s">
        <v>11</v>
      </c>
      <c r="C4787" s="1" t="str">
        <f>HYPERLINK("http://продеталь.рф/search.html?article=24057","24057")</f>
        <v>24057</v>
      </c>
      <c r="D4787" t="s">
        <v>163</v>
      </c>
    </row>
    <row r="4788" spans="1:4" outlineLevel="1" x14ac:dyDescent="0.25">
      <c r="A4788" t="s">
        <v>582</v>
      </c>
      <c r="B4788" t="s">
        <v>11</v>
      </c>
      <c r="C4788" s="1" t="str">
        <f>HYPERLINK("http://продеталь.рф/search.html?article=24059","24059")</f>
        <v>24059</v>
      </c>
      <c r="D4788" t="s">
        <v>163</v>
      </c>
    </row>
    <row r="4789" spans="1:4" outlineLevel="1" x14ac:dyDescent="0.25">
      <c r="A4789" t="s">
        <v>582</v>
      </c>
      <c r="B4789" t="s">
        <v>11</v>
      </c>
      <c r="C4789" s="1" t="str">
        <f>HYPERLINK("http://продеталь.рф/search.html?article=PPG04026BA","PPG04026BA")</f>
        <v>PPG04026BA</v>
      </c>
      <c r="D4789" t="s">
        <v>6</v>
      </c>
    </row>
    <row r="4790" spans="1:4" outlineLevel="1" x14ac:dyDescent="0.25">
      <c r="A4790" t="s">
        <v>582</v>
      </c>
      <c r="B4790" t="s">
        <v>583</v>
      </c>
      <c r="C4790" s="1" t="str">
        <f>HYPERLINK("http://продеталь.рф/search.html?article=PG04015BB","PG04015BB")</f>
        <v>PG04015BB</v>
      </c>
      <c r="D4790" t="s">
        <v>2</v>
      </c>
    </row>
    <row r="4791" spans="1:4" outlineLevel="1" x14ac:dyDescent="0.25">
      <c r="A4791" t="s">
        <v>582</v>
      </c>
      <c r="B4791" t="s">
        <v>15</v>
      </c>
      <c r="C4791" s="1" t="str">
        <f>HYPERLINK("http://продеталь.рф/search.html?article=3260016","3260016")</f>
        <v>3260016</v>
      </c>
      <c r="D4791" t="s">
        <v>4</v>
      </c>
    </row>
    <row r="4792" spans="1:4" outlineLevel="1" x14ac:dyDescent="0.25">
      <c r="A4792" t="s">
        <v>582</v>
      </c>
      <c r="B4792" t="s">
        <v>15</v>
      </c>
      <c r="C4792" s="1" t="str">
        <f>HYPERLINK("http://продеталь.рф/search.html?article=3260018","3260018")</f>
        <v>3260018</v>
      </c>
      <c r="D4792" t="s">
        <v>4</v>
      </c>
    </row>
    <row r="4793" spans="1:4" outlineLevel="1" x14ac:dyDescent="0.25">
      <c r="A4793" t="s">
        <v>582</v>
      </c>
      <c r="B4793" t="s">
        <v>15</v>
      </c>
      <c r="C4793" s="1" t="str">
        <f>HYPERLINK("http://продеталь.рф/search.html?article=3260017","3260017")</f>
        <v>3260017</v>
      </c>
      <c r="D4793" t="s">
        <v>4</v>
      </c>
    </row>
    <row r="4794" spans="1:4" outlineLevel="1" x14ac:dyDescent="0.25">
      <c r="A4794" t="s">
        <v>582</v>
      </c>
      <c r="B4794" t="s">
        <v>15</v>
      </c>
      <c r="C4794" s="1" t="str">
        <f>HYPERLINK("http://продеталь.рф/search.html?article=3260013","3260013")</f>
        <v>3260013</v>
      </c>
      <c r="D4794" t="s">
        <v>4</v>
      </c>
    </row>
    <row r="4795" spans="1:4" outlineLevel="1" x14ac:dyDescent="0.25">
      <c r="A4795" t="s">
        <v>582</v>
      </c>
      <c r="B4795" t="s">
        <v>15</v>
      </c>
      <c r="C4795" s="1" t="str">
        <f>HYPERLINK("http://продеталь.рф/search.html?article=32600190","32600190")</f>
        <v>32600190</v>
      </c>
      <c r="D4795" t="s">
        <v>4</v>
      </c>
    </row>
    <row r="4796" spans="1:4" outlineLevel="1" x14ac:dyDescent="0.25">
      <c r="A4796" t="s">
        <v>582</v>
      </c>
      <c r="B4796" t="s">
        <v>15</v>
      </c>
      <c r="C4796" s="1" t="str">
        <f>HYPERLINK("http://продеталь.рф/search.html?article=VPGM1014EL","VPGM1014EL")</f>
        <v>VPGM1014EL</v>
      </c>
      <c r="D4796" t="s">
        <v>6</v>
      </c>
    </row>
    <row r="4797" spans="1:4" outlineLevel="1" x14ac:dyDescent="0.25">
      <c r="A4797" t="s">
        <v>582</v>
      </c>
      <c r="B4797" t="s">
        <v>159</v>
      </c>
      <c r="C4797" s="1" t="str">
        <f>HYPERLINK("http://продеталь.рф/search.html?article=PG26004S0","PG26004S0")</f>
        <v>PG26004S0</v>
      </c>
      <c r="D4797" t="s">
        <v>9</v>
      </c>
    </row>
    <row r="4798" spans="1:4" outlineLevel="1" x14ac:dyDescent="0.25">
      <c r="A4798" t="s">
        <v>582</v>
      </c>
      <c r="B4798" t="s">
        <v>159</v>
      </c>
      <c r="C4798" s="1" t="str">
        <f>HYPERLINK("http://продеталь.рф/search.html?article=RDPG263930","RDPG263930")</f>
        <v>RDPG263930</v>
      </c>
      <c r="D4798" t="s">
        <v>6</v>
      </c>
    </row>
    <row r="4799" spans="1:4" outlineLevel="1" x14ac:dyDescent="0.25">
      <c r="A4799" t="s">
        <v>582</v>
      </c>
      <c r="B4799" t="s">
        <v>79</v>
      </c>
      <c r="C4799" s="1" t="str">
        <f>HYPERLINK("http://продеталь.рф/search.html?article=PG26004A0","PG26004A0")</f>
        <v>PG26004A0</v>
      </c>
      <c r="D4799" t="s">
        <v>9</v>
      </c>
    </row>
    <row r="4800" spans="1:4" outlineLevel="1" x14ac:dyDescent="0.25">
      <c r="A4800" t="s">
        <v>582</v>
      </c>
      <c r="B4800" t="s">
        <v>1</v>
      </c>
      <c r="C4800" s="1" t="str">
        <f>HYPERLINK("http://продеталь.рф/search.html?article=PPG20011KA","PPG20011KA")</f>
        <v>PPG20011KA</v>
      </c>
      <c r="D4800" t="s">
        <v>6</v>
      </c>
    </row>
    <row r="4801" spans="1:4" outlineLevel="1" x14ac:dyDescent="0.25">
      <c r="A4801" t="s">
        <v>582</v>
      </c>
      <c r="B4801" t="s">
        <v>24</v>
      </c>
      <c r="C4801" s="1" t="str">
        <f>HYPERLINK("http://продеталь.рф/search.html?article=PPG10014AL","PPG10014AL")</f>
        <v>PPG10014AL</v>
      </c>
      <c r="D4801" t="s">
        <v>6</v>
      </c>
    </row>
    <row r="4802" spans="1:4" outlineLevel="1" x14ac:dyDescent="0.25">
      <c r="A4802" t="s">
        <v>582</v>
      </c>
      <c r="B4802" t="s">
        <v>24</v>
      </c>
      <c r="C4802" s="1" t="str">
        <f>HYPERLINK("http://продеталь.рф/search.html?article=PPG10014AR","PPG10014AR")</f>
        <v>PPG10014AR</v>
      </c>
      <c r="D4802" t="s">
        <v>6</v>
      </c>
    </row>
    <row r="4803" spans="1:4" outlineLevel="1" x14ac:dyDescent="0.25">
      <c r="A4803" t="s">
        <v>582</v>
      </c>
      <c r="B4803" t="s">
        <v>50</v>
      </c>
      <c r="C4803" s="1" t="str">
        <f>HYPERLINK("http://продеталь.рф/search.html?article=PG260110","PG260110")</f>
        <v>PG260110</v>
      </c>
      <c r="D4803" t="s">
        <v>9</v>
      </c>
    </row>
    <row r="4804" spans="1:4" outlineLevel="1" x14ac:dyDescent="0.25">
      <c r="A4804" t="s">
        <v>582</v>
      </c>
      <c r="B4804" t="s">
        <v>584</v>
      </c>
      <c r="C4804" s="1" t="str">
        <f>HYPERLINK("http://продеталь.рф/search.html?article=PPG88001L","PPG88001L")</f>
        <v>PPG88001L</v>
      </c>
      <c r="D4804" t="s">
        <v>6</v>
      </c>
    </row>
    <row r="4805" spans="1:4" outlineLevel="1" x14ac:dyDescent="0.25">
      <c r="A4805" t="s">
        <v>582</v>
      </c>
      <c r="B4805" t="s">
        <v>585</v>
      </c>
      <c r="C4805" s="1" t="str">
        <f>HYPERLINK("http://продеталь.рф/search.html?article=PPG88001R","PPG88001R")</f>
        <v>PPG88001R</v>
      </c>
      <c r="D4805" t="s">
        <v>6</v>
      </c>
    </row>
    <row r="4806" spans="1:4" outlineLevel="1" x14ac:dyDescent="0.25">
      <c r="A4806" t="s">
        <v>582</v>
      </c>
      <c r="B4806" t="s">
        <v>26</v>
      </c>
      <c r="C4806" s="1" t="str">
        <f>HYPERLINK("http://продеталь.рф/search.html?article=34055","34055")</f>
        <v>34055</v>
      </c>
      <c r="D4806" t="s">
        <v>163</v>
      </c>
    </row>
    <row r="4807" spans="1:4" outlineLevel="1" x14ac:dyDescent="0.25">
      <c r="A4807" t="s">
        <v>582</v>
      </c>
      <c r="B4807" t="s">
        <v>26</v>
      </c>
      <c r="C4807" s="1" t="str">
        <f>HYPERLINK("http://продеталь.рф/search.html?article=034059","034059")</f>
        <v>034059</v>
      </c>
      <c r="D4807" t="s">
        <v>163</v>
      </c>
    </row>
    <row r="4808" spans="1:4" outlineLevel="1" x14ac:dyDescent="0.25">
      <c r="A4808" t="s">
        <v>582</v>
      </c>
      <c r="B4808" t="s">
        <v>27</v>
      </c>
      <c r="C4808" s="1" t="str">
        <f>HYPERLINK("http://продеталь.рф/search.html?article=PG26009A0","PG26009A0")</f>
        <v>PG26009A0</v>
      </c>
      <c r="D4808" t="s">
        <v>9</v>
      </c>
    </row>
    <row r="4809" spans="1:4" outlineLevel="1" x14ac:dyDescent="0.25">
      <c r="A4809" t="s">
        <v>582</v>
      </c>
      <c r="B4809" t="s">
        <v>27</v>
      </c>
      <c r="C4809" s="1" t="str">
        <f>HYPERLINK("http://продеталь.рф/search.html?article=PG260090","PG260090")</f>
        <v>PG260090</v>
      </c>
      <c r="D4809" t="s">
        <v>9</v>
      </c>
    </row>
    <row r="4810" spans="1:4" outlineLevel="1" x14ac:dyDescent="0.25">
      <c r="A4810" t="s">
        <v>582</v>
      </c>
      <c r="B4810" t="s">
        <v>3</v>
      </c>
      <c r="C4810" s="1" t="str">
        <f>HYPERLINK("http://продеталь.рф/search.html?article=205760282","205760282")</f>
        <v>205760282</v>
      </c>
      <c r="D4810" t="s">
        <v>4</v>
      </c>
    </row>
    <row r="4811" spans="1:4" outlineLevel="1" x14ac:dyDescent="0.25">
      <c r="A4811" t="s">
        <v>582</v>
      </c>
      <c r="B4811" t="s">
        <v>3</v>
      </c>
      <c r="C4811" s="1" t="str">
        <f>HYPERLINK("http://продеталь.рф/search.html?article=205759282","205759282")</f>
        <v>205759282</v>
      </c>
      <c r="D4811" t="s">
        <v>4</v>
      </c>
    </row>
    <row r="4812" spans="1:4" outlineLevel="1" x14ac:dyDescent="0.25">
      <c r="A4812" t="s">
        <v>582</v>
      </c>
      <c r="B4812" t="s">
        <v>3</v>
      </c>
      <c r="C4812" s="1" t="str">
        <f>HYPERLINK("http://продеталь.рф/search.html?article=206155052","206155052")</f>
        <v>206155052</v>
      </c>
      <c r="D4812" t="s">
        <v>4</v>
      </c>
    </row>
    <row r="4813" spans="1:4" outlineLevel="1" x14ac:dyDescent="0.25">
      <c r="A4813" t="s">
        <v>582</v>
      </c>
      <c r="B4813" t="s">
        <v>139</v>
      </c>
      <c r="C4813" s="1" t="str">
        <f>HYPERLINK("http://продеталь.рф/search.html?article=PG26015H2","PG26015H2")</f>
        <v>PG26015H2</v>
      </c>
      <c r="D4813" t="s">
        <v>9</v>
      </c>
    </row>
    <row r="4814" spans="1:4" outlineLevel="1" x14ac:dyDescent="0.25">
      <c r="A4814" t="s">
        <v>582</v>
      </c>
      <c r="B4814" t="s">
        <v>5</v>
      </c>
      <c r="C4814" s="1" t="str">
        <f>HYPERLINK("http://продеталь.рф/search.html?article=UPE0319111","UPE0319111")</f>
        <v>UPE0319111</v>
      </c>
      <c r="D4814" t="s">
        <v>2</v>
      </c>
    </row>
    <row r="4815" spans="1:4" outlineLevel="1" x14ac:dyDescent="0.25">
      <c r="A4815" t="s">
        <v>582</v>
      </c>
      <c r="B4815" t="s">
        <v>5</v>
      </c>
      <c r="C4815" s="1" t="str">
        <f>HYPERLINK("http://продеталь.рф/search.html?article=UPE0319112","UPE0319112")</f>
        <v>UPE0319112</v>
      </c>
      <c r="D4815" t="s">
        <v>2</v>
      </c>
    </row>
    <row r="4816" spans="1:4" outlineLevel="1" x14ac:dyDescent="0.25">
      <c r="A4816" t="s">
        <v>582</v>
      </c>
      <c r="B4816" t="s">
        <v>5</v>
      </c>
      <c r="C4816" s="1" t="str">
        <f>HYPERLINK("http://продеталь.рф/search.html?article=211513B","211513B")</f>
        <v>211513B</v>
      </c>
      <c r="D4816" t="s">
        <v>21</v>
      </c>
    </row>
    <row r="4817" spans="1:4" outlineLevel="1" x14ac:dyDescent="0.25">
      <c r="A4817" t="s">
        <v>582</v>
      </c>
      <c r="B4817" t="s">
        <v>5</v>
      </c>
      <c r="C4817" s="1" t="str">
        <f>HYPERLINK("http://продеталь.рф/search.html?article=211514B","211514B")</f>
        <v>211514B</v>
      </c>
      <c r="D4817" t="s">
        <v>21</v>
      </c>
    </row>
    <row r="4818" spans="1:4" outlineLevel="1" x14ac:dyDescent="0.25">
      <c r="A4818" t="s">
        <v>582</v>
      </c>
      <c r="B4818" t="s">
        <v>52</v>
      </c>
      <c r="C4818" s="1" t="str">
        <f>HYPERLINK("http://продеталь.рф/search.html?article=RG915","RG915")</f>
        <v>RG915</v>
      </c>
      <c r="D4818" t="s">
        <v>53</v>
      </c>
    </row>
    <row r="4819" spans="1:4" outlineLevel="1" x14ac:dyDescent="0.25">
      <c r="A4819" t="s">
        <v>582</v>
      </c>
      <c r="B4819" t="s">
        <v>19</v>
      </c>
      <c r="C4819" s="1" t="str">
        <f>HYPERLINK("http://продеталь.рф/search.html?article=195324052","195324052")</f>
        <v>195324052</v>
      </c>
      <c r="D4819" t="s">
        <v>4</v>
      </c>
    </row>
    <row r="4820" spans="1:4" outlineLevel="1" x14ac:dyDescent="0.25">
      <c r="A4820" t="s">
        <v>582</v>
      </c>
      <c r="B4820" t="s">
        <v>19</v>
      </c>
      <c r="C4820" s="1" t="str">
        <f>HYPERLINK("http://продеталь.рф/search.html?article=195323052","195323052")</f>
        <v>195323052</v>
      </c>
      <c r="D4820" t="s">
        <v>4</v>
      </c>
    </row>
    <row r="4821" spans="1:4" outlineLevel="1" x14ac:dyDescent="0.25">
      <c r="A4821" t="s">
        <v>582</v>
      </c>
      <c r="B4821" t="s">
        <v>8</v>
      </c>
      <c r="C4821" s="1" t="str">
        <f>HYPERLINK("http://продеталь.рф/search.html?article=RC94392","RC94392")</f>
        <v>RC94392</v>
      </c>
      <c r="D4821" t="s">
        <v>6</v>
      </c>
    </row>
    <row r="4822" spans="1:4" outlineLevel="1" x14ac:dyDescent="0.25">
      <c r="A4822" t="s">
        <v>582</v>
      </c>
      <c r="B4822" t="s">
        <v>263</v>
      </c>
      <c r="C4822" s="1" t="str">
        <f>HYPERLINK("http://продеталь.рф/search.html?article=00560081","00560081")</f>
        <v>00560081</v>
      </c>
      <c r="D4822" t="s">
        <v>586</v>
      </c>
    </row>
    <row r="4823" spans="1:4" outlineLevel="1" x14ac:dyDescent="0.25">
      <c r="A4823" t="s">
        <v>582</v>
      </c>
      <c r="B4823" t="s">
        <v>263</v>
      </c>
      <c r="C4823" s="1" t="str">
        <f>HYPERLINK("http://продеталь.рф/search.html?article=00560082","00560082")</f>
        <v>00560082</v>
      </c>
      <c r="D4823" t="s">
        <v>586</v>
      </c>
    </row>
    <row r="4824" spans="1:4" outlineLevel="1" x14ac:dyDescent="0.25">
      <c r="A4824" t="s">
        <v>582</v>
      </c>
      <c r="B4824" t="s">
        <v>40</v>
      </c>
      <c r="C4824" s="1" t="str">
        <f>HYPERLINK("http://продеталь.рф/search.html?article=131402","131402")</f>
        <v>131402</v>
      </c>
      <c r="D4824" t="s">
        <v>61</v>
      </c>
    </row>
    <row r="4825" spans="1:4" outlineLevel="1" x14ac:dyDescent="0.25">
      <c r="A4825" t="s">
        <v>582</v>
      </c>
      <c r="B4825" t="s">
        <v>12</v>
      </c>
      <c r="C4825" s="1" t="str">
        <f>HYPERLINK("http://продеталь.рф/search.html?article=GD4607","GD4607")</f>
        <v>GD4607</v>
      </c>
      <c r="D4825" t="s">
        <v>2</v>
      </c>
    </row>
    <row r="4826" spans="1:4" outlineLevel="1" x14ac:dyDescent="0.25">
      <c r="A4826" t="s">
        <v>582</v>
      </c>
      <c r="B4826" t="s">
        <v>71</v>
      </c>
      <c r="C4826" s="1" t="str">
        <f>HYPERLINK("http://продеталь.рф/search.html?article=PG02000A","PG02000A")</f>
        <v>PG02000A</v>
      </c>
      <c r="D4826" t="s">
        <v>2</v>
      </c>
    </row>
    <row r="4827" spans="1:4" outlineLevel="1" x14ac:dyDescent="0.25">
      <c r="A4827" t="s">
        <v>582</v>
      </c>
      <c r="B4827" t="s">
        <v>32</v>
      </c>
      <c r="C4827" s="1" t="str">
        <f>HYPERLINK("http://продеталь.рф/search.html?article=UPE0385182E","UPE0385182E")</f>
        <v>UPE0385182E</v>
      </c>
      <c r="D4827" t="s">
        <v>2</v>
      </c>
    </row>
    <row r="4828" spans="1:4" outlineLevel="1" x14ac:dyDescent="0.25">
      <c r="A4828" t="s">
        <v>582</v>
      </c>
      <c r="B4828" t="s">
        <v>32</v>
      </c>
      <c r="C4828" s="1" t="str">
        <f>HYPERLINK("http://продеталь.рф/search.html?article=UPE0385183E","UPE0385183E")</f>
        <v>UPE0385183E</v>
      </c>
      <c r="D4828" t="s">
        <v>2</v>
      </c>
    </row>
    <row r="4829" spans="1:4" outlineLevel="1" x14ac:dyDescent="0.25">
      <c r="A4829" t="s">
        <v>582</v>
      </c>
      <c r="B4829" t="s">
        <v>32</v>
      </c>
      <c r="C4829" s="1" t="str">
        <f>HYPERLINK("http://продеталь.рф/search.html?article=UPE0385184E","UPE0385184E")</f>
        <v>UPE0385184E</v>
      </c>
      <c r="D4829" t="s">
        <v>2</v>
      </c>
    </row>
    <row r="4830" spans="1:4" outlineLevel="1" x14ac:dyDescent="0.25">
      <c r="A4830" t="s">
        <v>582</v>
      </c>
      <c r="B4830" t="s">
        <v>13</v>
      </c>
      <c r="C4830" s="1" t="str">
        <f>HYPERLINK("http://продеталь.рф/search.html?article=PG26000T0","PG26000T0")</f>
        <v>PG26000T0</v>
      </c>
      <c r="D4830" t="s">
        <v>9</v>
      </c>
    </row>
    <row r="4831" spans="1:4" x14ac:dyDescent="0.25">
      <c r="A4831" t="s">
        <v>587</v>
      </c>
      <c r="B4831" s="2" t="s">
        <v>587</v>
      </c>
      <c r="C4831" s="2"/>
      <c r="D4831" s="2"/>
    </row>
    <row r="4832" spans="1:4" outlineLevel="1" x14ac:dyDescent="0.25">
      <c r="A4832" t="s">
        <v>587</v>
      </c>
      <c r="B4832" t="s">
        <v>37</v>
      </c>
      <c r="C4832" s="1" t="str">
        <f>HYPERLINK("http://продеталь.рф/search.html?article=1506251","1506251")</f>
        <v>1506251</v>
      </c>
      <c r="D4832" t="s">
        <v>58</v>
      </c>
    </row>
    <row r="4833" spans="1:4" outlineLevel="1" x14ac:dyDescent="0.25">
      <c r="A4833" t="s">
        <v>587</v>
      </c>
      <c r="B4833" t="s">
        <v>38</v>
      </c>
      <c r="C4833" s="1" t="str">
        <f>HYPERLINK("http://продеталь.рф/search.html?article=1506214","1506214")</f>
        <v>1506214</v>
      </c>
      <c r="D4833" t="s">
        <v>58</v>
      </c>
    </row>
    <row r="4834" spans="1:4" outlineLevel="1" x14ac:dyDescent="0.25">
      <c r="A4834" t="s">
        <v>587</v>
      </c>
      <c r="B4834" t="s">
        <v>38</v>
      </c>
      <c r="C4834" s="1" t="str">
        <f>HYPERLINK("http://продеталь.рф/search.html?article=1506215","1506215")</f>
        <v>1506215</v>
      </c>
      <c r="D4834" t="s">
        <v>58</v>
      </c>
    </row>
    <row r="4835" spans="1:4" x14ac:dyDescent="0.25">
      <c r="A4835" t="s">
        <v>588</v>
      </c>
      <c r="B4835" s="2" t="s">
        <v>588</v>
      </c>
      <c r="C4835" s="2"/>
      <c r="D4835" s="2"/>
    </row>
    <row r="4836" spans="1:4" outlineLevel="1" x14ac:dyDescent="0.25">
      <c r="A4836" t="s">
        <v>588</v>
      </c>
      <c r="B4836" t="s">
        <v>11</v>
      </c>
      <c r="C4836" s="1" t="str">
        <f>HYPERLINK("http://продеталь.рф/search.html?article=PPG04035BA","PPG04035BA")</f>
        <v>PPG04035BA</v>
      </c>
      <c r="D4836" t="s">
        <v>6</v>
      </c>
    </row>
    <row r="4837" spans="1:4" outlineLevel="1" x14ac:dyDescent="0.25">
      <c r="A4837" t="s">
        <v>588</v>
      </c>
      <c r="B4837" t="s">
        <v>15</v>
      </c>
      <c r="C4837" s="1" t="str">
        <f>HYPERLINK("http://продеталь.рф/search.html?article=388PGD142TPL","388PGD142TPL")</f>
        <v>388PGD142TPL</v>
      </c>
      <c r="D4837" t="s">
        <v>4</v>
      </c>
    </row>
    <row r="4838" spans="1:4" outlineLevel="1" x14ac:dyDescent="0.25">
      <c r="A4838" t="s">
        <v>588</v>
      </c>
      <c r="B4838" t="s">
        <v>15</v>
      </c>
      <c r="C4838" s="1" t="str">
        <f>HYPERLINK("http://продеталь.рф/search.html?article=388PGD141TPSL","388PGD141TPSL")</f>
        <v>388PGD141TPSL</v>
      </c>
      <c r="D4838" t="s">
        <v>4</v>
      </c>
    </row>
    <row r="4839" spans="1:4" outlineLevel="1" x14ac:dyDescent="0.25">
      <c r="A4839" t="s">
        <v>588</v>
      </c>
      <c r="B4839" t="s">
        <v>101</v>
      </c>
      <c r="C4839" s="1" t="str">
        <f>HYPERLINK("http://продеталь.рф/search.html?article=PG99019CA","PG99019CA")</f>
        <v>PG99019CA</v>
      </c>
      <c r="D4839" t="s">
        <v>2</v>
      </c>
    </row>
    <row r="4840" spans="1:4" outlineLevel="1" x14ac:dyDescent="0.25">
      <c r="A4840" t="s">
        <v>588</v>
      </c>
      <c r="B4840" t="s">
        <v>1</v>
      </c>
      <c r="C4840" s="1" t="str">
        <f>HYPERLINK("http://продеталь.рф/search.html?article=PG270150","PG270150")</f>
        <v>PG270150</v>
      </c>
      <c r="D4840" t="s">
        <v>9</v>
      </c>
    </row>
    <row r="4841" spans="1:4" outlineLevel="1" x14ac:dyDescent="0.25">
      <c r="A4841" t="s">
        <v>588</v>
      </c>
      <c r="B4841" t="s">
        <v>24</v>
      </c>
      <c r="C4841" s="1" t="str">
        <f>HYPERLINK("http://продеталь.рф/search.html?article=PPG10017AL","PPG10017AL")</f>
        <v>PPG10017AL</v>
      </c>
      <c r="D4841" t="s">
        <v>6</v>
      </c>
    </row>
    <row r="4842" spans="1:4" outlineLevel="1" x14ac:dyDescent="0.25">
      <c r="A4842" t="s">
        <v>588</v>
      </c>
      <c r="B4842" t="s">
        <v>240</v>
      </c>
      <c r="C4842" s="1" t="str">
        <f>HYPERLINK("http://продеталь.рф/search.html?article=VPGM1028DR","VPGM1028DR")</f>
        <v>VPGM1028DR</v>
      </c>
      <c r="D4842" t="s">
        <v>6</v>
      </c>
    </row>
    <row r="4843" spans="1:4" outlineLevel="1" x14ac:dyDescent="0.25">
      <c r="A4843" t="s">
        <v>588</v>
      </c>
      <c r="B4843" t="s">
        <v>3</v>
      </c>
      <c r="C4843" s="1" t="str">
        <f>HYPERLINK("http://продеталь.рф/search.html?article=201061052","201061052")</f>
        <v>201061052</v>
      </c>
      <c r="D4843" t="s">
        <v>4</v>
      </c>
    </row>
    <row r="4844" spans="1:4" outlineLevel="1" x14ac:dyDescent="0.25">
      <c r="A4844" t="s">
        <v>588</v>
      </c>
      <c r="B4844" t="s">
        <v>3</v>
      </c>
      <c r="C4844" s="1" t="str">
        <f>HYPERLINK("http://продеталь.рф/search.html?article=201062052","201062052")</f>
        <v>201062052</v>
      </c>
      <c r="D4844" t="s">
        <v>4</v>
      </c>
    </row>
    <row r="4845" spans="1:4" outlineLevel="1" x14ac:dyDescent="0.25">
      <c r="A4845" t="s">
        <v>588</v>
      </c>
      <c r="B4845" t="s">
        <v>3</v>
      </c>
      <c r="C4845" s="1" t="str">
        <f>HYPERLINK("http://продеталь.рф/search.html?article=20B060052B","20B060052B")</f>
        <v>20B060052B</v>
      </c>
      <c r="D4845" t="s">
        <v>4</v>
      </c>
    </row>
    <row r="4846" spans="1:4" outlineLevel="1" x14ac:dyDescent="0.25">
      <c r="A4846" t="s">
        <v>588</v>
      </c>
      <c r="B4846" t="s">
        <v>5</v>
      </c>
      <c r="C4846" s="1" t="str">
        <f>HYPERLINK("http://продеталь.рф/search.html?article=211535","211535")</f>
        <v>211535</v>
      </c>
      <c r="D4846" t="s">
        <v>21</v>
      </c>
    </row>
    <row r="4847" spans="1:4" outlineLevel="1" x14ac:dyDescent="0.25">
      <c r="A4847" t="s">
        <v>588</v>
      </c>
      <c r="B4847" t="s">
        <v>5</v>
      </c>
      <c r="C4847" s="1" t="str">
        <f>HYPERLINK("http://продеталь.рф/search.html?article=211536","211536")</f>
        <v>211536</v>
      </c>
      <c r="D4847" t="s">
        <v>21</v>
      </c>
    </row>
    <row r="4848" spans="1:4" outlineLevel="1" x14ac:dyDescent="0.25">
      <c r="A4848" t="s">
        <v>588</v>
      </c>
      <c r="B4848" t="s">
        <v>40</v>
      </c>
      <c r="C4848" s="1" t="str">
        <f>HYPERLINK("http://продеталь.рф/search.html?article=PG261000G1000","PG261000G1000")</f>
        <v>PG261000G1000</v>
      </c>
      <c r="D4848" t="s">
        <v>9</v>
      </c>
    </row>
    <row r="4849" spans="1:4" outlineLevel="1" x14ac:dyDescent="0.25">
      <c r="A4849" t="s">
        <v>588</v>
      </c>
      <c r="B4849" t="s">
        <v>40</v>
      </c>
      <c r="C4849" s="1" t="str">
        <f>HYPERLINK("http://продеталь.рф/search.html?article=PPG07036GBU","PPG07036GBU")</f>
        <v>PPG07036GBU</v>
      </c>
      <c r="D4849" t="s">
        <v>6</v>
      </c>
    </row>
    <row r="4850" spans="1:4" outlineLevel="1" x14ac:dyDescent="0.25">
      <c r="A4850" t="s">
        <v>588</v>
      </c>
      <c r="B4850" t="s">
        <v>40</v>
      </c>
      <c r="C4850" s="1" t="str">
        <f>HYPERLINK("http://продеталь.рф/search.html?article=PPG07036GAU","PPG07036GAU")</f>
        <v>PPG07036GAU</v>
      </c>
      <c r="D4850" t="s">
        <v>6</v>
      </c>
    </row>
    <row r="4851" spans="1:4" outlineLevel="1" x14ac:dyDescent="0.25">
      <c r="A4851" t="s">
        <v>588</v>
      </c>
      <c r="B4851" t="s">
        <v>40</v>
      </c>
      <c r="C4851" s="1" t="str">
        <f>HYPERLINK("http://продеталь.рф/search.html?article=20709110","20709110")</f>
        <v>20709110</v>
      </c>
      <c r="D4851" t="s">
        <v>18</v>
      </c>
    </row>
    <row r="4852" spans="1:4" outlineLevel="1" x14ac:dyDescent="0.25">
      <c r="A4852" t="s">
        <v>588</v>
      </c>
      <c r="B4852" t="s">
        <v>40</v>
      </c>
      <c r="C4852" s="1" t="str">
        <f>HYPERLINK("http://продеталь.рф/search.html?article=20706102","20706102")</f>
        <v>20706102</v>
      </c>
      <c r="D4852" t="s">
        <v>18</v>
      </c>
    </row>
    <row r="4853" spans="1:4" outlineLevel="1" x14ac:dyDescent="0.25">
      <c r="A4853" t="s">
        <v>588</v>
      </c>
      <c r="B4853" t="s">
        <v>71</v>
      </c>
      <c r="C4853" s="1" t="str">
        <f>HYPERLINK("http://продеталь.рф/search.html?article=PPG05008VBL","PPG05008VBL")</f>
        <v>PPG05008VBL</v>
      </c>
      <c r="D4853" t="s">
        <v>6</v>
      </c>
    </row>
    <row r="4854" spans="1:4" outlineLevel="1" x14ac:dyDescent="0.25">
      <c r="A4854" t="s">
        <v>588</v>
      </c>
      <c r="B4854" t="s">
        <v>71</v>
      </c>
      <c r="C4854" s="1" t="str">
        <f>HYPERLINK("http://продеталь.рф/search.html?article=PPG05008VBR","PPG05008VBR")</f>
        <v>PPG05008VBR</v>
      </c>
      <c r="D4854" t="s">
        <v>6</v>
      </c>
    </row>
    <row r="4855" spans="1:4" outlineLevel="1" x14ac:dyDescent="0.25">
      <c r="A4855" t="s">
        <v>588</v>
      </c>
      <c r="B4855" t="s">
        <v>71</v>
      </c>
      <c r="C4855" s="1" t="str">
        <f>HYPERLINK("http://продеталь.рф/search.html?article=PG02002SA","PG02002SA")</f>
        <v>PG02002SA</v>
      </c>
      <c r="D4855" t="s">
        <v>2</v>
      </c>
    </row>
    <row r="4856" spans="1:4" outlineLevel="1" x14ac:dyDescent="0.25">
      <c r="A4856" t="s">
        <v>588</v>
      </c>
      <c r="B4856" t="s">
        <v>13</v>
      </c>
      <c r="C4856" s="1" t="str">
        <f>HYPERLINK("http://продеталь.рф/search.html?article=PPG44017A","PPG44017A")</f>
        <v>PPG44017A</v>
      </c>
      <c r="D4856" t="s">
        <v>6</v>
      </c>
    </row>
    <row r="4857" spans="1:4" x14ac:dyDescent="0.25">
      <c r="A4857" t="s">
        <v>589</v>
      </c>
      <c r="B4857" s="2" t="s">
        <v>589</v>
      </c>
      <c r="C4857" s="2"/>
      <c r="D4857" s="2"/>
    </row>
    <row r="4858" spans="1:4" outlineLevel="1" x14ac:dyDescent="0.25">
      <c r="A4858" t="s">
        <v>589</v>
      </c>
      <c r="B4858" t="s">
        <v>1</v>
      </c>
      <c r="C4858" s="1" t="str">
        <f>HYPERLINK("http://продеталь.рф/search.html?article=PG20012A","PG20012A")</f>
        <v>PG20012A</v>
      </c>
      <c r="D4858" t="s">
        <v>2</v>
      </c>
    </row>
    <row r="4859" spans="1:4" outlineLevel="1" x14ac:dyDescent="0.25">
      <c r="A4859" t="s">
        <v>589</v>
      </c>
      <c r="B4859" t="s">
        <v>50</v>
      </c>
      <c r="C4859" s="1" t="str">
        <f>HYPERLINK("http://продеталь.рф/search.html?article=PG362062","PG362062")</f>
        <v>PG362062</v>
      </c>
      <c r="D4859" t="s">
        <v>9</v>
      </c>
    </row>
    <row r="4860" spans="1:4" outlineLevel="1" x14ac:dyDescent="0.25">
      <c r="A4860" t="s">
        <v>589</v>
      </c>
      <c r="B4860" t="s">
        <v>50</v>
      </c>
      <c r="C4860" s="1" t="str">
        <f>HYPERLINK("http://продеталь.рф/search.html?article=PG362061","PG362061")</f>
        <v>PG362061</v>
      </c>
      <c r="D4860" t="s">
        <v>9</v>
      </c>
    </row>
    <row r="4861" spans="1:4" outlineLevel="1" x14ac:dyDescent="0.25">
      <c r="A4861" t="s">
        <v>589</v>
      </c>
      <c r="B4861" t="s">
        <v>3</v>
      </c>
      <c r="C4861" s="1" t="str">
        <f>HYPERLINK("http://продеталь.рф/search.html?article=206182052","206182052")</f>
        <v>206182052</v>
      </c>
      <c r="D4861" t="s">
        <v>4</v>
      </c>
    </row>
    <row r="4862" spans="1:4" outlineLevel="1" x14ac:dyDescent="0.25">
      <c r="A4862" t="s">
        <v>589</v>
      </c>
      <c r="B4862" t="s">
        <v>3</v>
      </c>
      <c r="C4862" s="1" t="str">
        <f>HYPERLINK("http://продеталь.рф/search.html?article=206181052","206181052")</f>
        <v>206181052</v>
      </c>
      <c r="D4862" t="s">
        <v>4</v>
      </c>
    </row>
    <row r="4863" spans="1:4" outlineLevel="1" x14ac:dyDescent="0.25">
      <c r="A4863" t="s">
        <v>589</v>
      </c>
      <c r="B4863" t="s">
        <v>12</v>
      </c>
      <c r="C4863" s="1" t="str">
        <f>HYPERLINK("http://продеталь.рф/search.html?article=P821","P821")</f>
        <v>P821</v>
      </c>
      <c r="D4863" t="s">
        <v>18</v>
      </c>
    </row>
    <row r="4864" spans="1:4" x14ac:dyDescent="0.25">
      <c r="A4864" t="s">
        <v>590</v>
      </c>
      <c r="B4864" s="2" t="s">
        <v>590</v>
      </c>
      <c r="C4864" s="2"/>
      <c r="D4864" s="2"/>
    </row>
    <row r="4865" spans="1:4" outlineLevel="1" x14ac:dyDescent="0.25">
      <c r="A4865" t="s">
        <v>590</v>
      </c>
      <c r="B4865" t="s">
        <v>11</v>
      </c>
      <c r="C4865" s="1" t="str">
        <f>HYPERLINK("http://продеталь.рф/search.html?article=024070","024070")</f>
        <v>024070</v>
      </c>
      <c r="D4865" t="s">
        <v>163</v>
      </c>
    </row>
    <row r="4866" spans="1:4" outlineLevel="1" x14ac:dyDescent="0.25">
      <c r="A4866" t="s">
        <v>590</v>
      </c>
      <c r="B4866" t="s">
        <v>591</v>
      </c>
      <c r="C4866" s="1" t="str">
        <f>HYPERLINK("http://продеталь.рф/search.html?article=PPG04021BA","PPG04021BA")</f>
        <v>PPG04021BA</v>
      </c>
      <c r="D4866" t="s">
        <v>6</v>
      </c>
    </row>
    <row r="4867" spans="1:4" outlineLevel="1" x14ac:dyDescent="0.25">
      <c r="A4867" t="s">
        <v>590</v>
      </c>
      <c r="B4867" t="s">
        <v>15</v>
      </c>
      <c r="C4867" s="1" t="str">
        <f>HYPERLINK("http://продеталь.рф/search.html?article=3260037","3260037")</f>
        <v>3260037</v>
      </c>
      <c r="D4867" t="s">
        <v>4</v>
      </c>
    </row>
    <row r="4868" spans="1:4" outlineLevel="1" x14ac:dyDescent="0.25">
      <c r="A4868" t="s">
        <v>590</v>
      </c>
      <c r="B4868" t="s">
        <v>15</v>
      </c>
      <c r="C4868" s="1" t="str">
        <f>HYPERLINK("http://продеталь.рф/search.html?article=3260041","3260041")</f>
        <v>3260041</v>
      </c>
      <c r="D4868" t="s">
        <v>4</v>
      </c>
    </row>
    <row r="4869" spans="1:4" outlineLevel="1" x14ac:dyDescent="0.25">
      <c r="A4869" t="s">
        <v>590</v>
      </c>
      <c r="B4869" t="s">
        <v>79</v>
      </c>
      <c r="C4869" s="1" t="str">
        <f>HYPERLINK("http://продеталь.рф/search.html?article=PG370040","PG370040")</f>
        <v>PG370040</v>
      </c>
      <c r="D4869" t="s">
        <v>9</v>
      </c>
    </row>
    <row r="4870" spans="1:4" outlineLevel="1" x14ac:dyDescent="0.25">
      <c r="A4870" t="s">
        <v>590</v>
      </c>
      <c r="B4870" t="s">
        <v>23</v>
      </c>
      <c r="C4870" s="1" t="str">
        <f>HYPERLINK("http://продеталь.рф/search.html?article=110250012","110250012")</f>
        <v>110250012</v>
      </c>
      <c r="D4870" t="s">
        <v>4</v>
      </c>
    </row>
    <row r="4871" spans="1:4" outlineLevel="1" x14ac:dyDescent="0.25">
      <c r="A4871" t="s">
        <v>590</v>
      </c>
      <c r="B4871" t="s">
        <v>23</v>
      </c>
      <c r="C4871" s="1" t="str">
        <f>HYPERLINK("http://продеталь.рф/search.html?article=110249012","110249012")</f>
        <v>110249012</v>
      </c>
      <c r="D4871" t="s">
        <v>4</v>
      </c>
    </row>
    <row r="4872" spans="1:4" outlineLevel="1" x14ac:dyDescent="0.25">
      <c r="A4872" t="s">
        <v>590</v>
      </c>
      <c r="B4872" t="s">
        <v>23</v>
      </c>
      <c r="C4872" s="1" t="str">
        <f>HYPERLINK("http://продеталь.рф/search.html?article=110488012","110488012")</f>
        <v>110488012</v>
      </c>
      <c r="D4872" t="s">
        <v>4</v>
      </c>
    </row>
    <row r="4873" spans="1:4" outlineLevel="1" x14ac:dyDescent="0.25">
      <c r="A4873" t="s">
        <v>590</v>
      </c>
      <c r="B4873" t="s">
        <v>23</v>
      </c>
      <c r="C4873" s="1" t="str">
        <f>HYPERLINK("http://продеталь.рф/search.html?article=110487012","110487012")</f>
        <v>110487012</v>
      </c>
      <c r="D4873" t="s">
        <v>4</v>
      </c>
    </row>
    <row r="4874" spans="1:4" outlineLevel="1" x14ac:dyDescent="0.25">
      <c r="A4874" t="s">
        <v>590</v>
      </c>
      <c r="B4874" t="s">
        <v>160</v>
      </c>
      <c r="C4874" s="1" t="str">
        <f>HYPERLINK("http://продеталь.рф/search.html?article=5710347","5710347")</f>
        <v>5710347</v>
      </c>
      <c r="D4874" t="s">
        <v>81</v>
      </c>
    </row>
    <row r="4875" spans="1:4" outlineLevel="1" x14ac:dyDescent="0.25">
      <c r="A4875" t="s">
        <v>590</v>
      </c>
      <c r="B4875" t="s">
        <v>24</v>
      </c>
      <c r="C4875" s="1" t="str">
        <f>HYPERLINK("http://продеталь.рф/search.html?article=PG370162","PG370162")</f>
        <v>PG370162</v>
      </c>
      <c r="D4875" t="s">
        <v>9</v>
      </c>
    </row>
    <row r="4876" spans="1:4" outlineLevel="1" x14ac:dyDescent="0.25">
      <c r="A4876" t="s">
        <v>590</v>
      </c>
      <c r="B4876" t="s">
        <v>24</v>
      </c>
      <c r="C4876" s="1" t="str">
        <f>HYPERLINK("http://продеталь.рф/search.html?article=PPG10002AL","PPG10002AL")</f>
        <v>PPG10002AL</v>
      </c>
      <c r="D4876" t="s">
        <v>6</v>
      </c>
    </row>
    <row r="4877" spans="1:4" outlineLevel="1" x14ac:dyDescent="0.25">
      <c r="A4877" t="s">
        <v>590</v>
      </c>
      <c r="B4877" t="s">
        <v>24</v>
      </c>
      <c r="C4877" s="1" t="str">
        <f>HYPERLINK("http://продеталь.рф/search.html?article=PPG10002AR","PPG10002AR")</f>
        <v>PPG10002AR</v>
      </c>
      <c r="D4877" t="s">
        <v>6</v>
      </c>
    </row>
    <row r="4878" spans="1:4" outlineLevel="1" x14ac:dyDescent="0.25">
      <c r="A4878" t="s">
        <v>590</v>
      </c>
      <c r="B4878" t="s">
        <v>92</v>
      </c>
      <c r="C4878" s="1" t="str">
        <f>HYPERLINK("http://продеталь.рф/search.html?article=PPG99033MAR","PPG99033MAR")</f>
        <v>PPG99033MAR</v>
      </c>
      <c r="D4878" t="s">
        <v>6</v>
      </c>
    </row>
    <row r="4879" spans="1:4" outlineLevel="1" x14ac:dyDescent="0.25">
      <c r="A4879" t="s">
        <v>590</v>
      </c>
      <c r="B4879" t="s">
        <v>26</v>
      </c>
      <c r="C4879" s="1" t="str">
        <f>HYPERLINK("http://продеталь.рф/search.html?article=34071","34071")</f>
        <v>34071</v>
      </c>
      <c r="D4879" t="s">
        <v>163</v>
      </c>
    </row>
    <row r="4880" spans="1:4" outlineLevel="1" x14ac:dyDescent="0.25">
      <c r="A4880" t="s">
        <v>590</v>
      </c>
      <c r="B4880" t="s">
        <v>26</v>
      </c>
      <c r="C4880" s="1" t="str">
        <f>HYPERLINK("http://продеталь.рф/search.html?article=34070","34070")</f>
        <v>34070</v>
      </c>
      <c r="D4880" t="s">
        <v>163</v>
      </c>
    </row>
    <row r="4881" spans="1:4" outlineLevel="1" x14ac:dyDescent="0.25">
      <c r="A4881" t="s">
        <v>590</v>
      </c>
      <c r="B4881" t="s">
        <v>26</v>
      </c>
      <c r="C4881" s="1" t="str">
        <f>HYPERLINK("http://продеталь.рф/search.html?article=PG370000M3L00","PG370000M3L00")</f>
        <v>PG370000M3L00</v>
      </c>
      <c r="D4881" t="s">
        <v>9</v>
      </c>
    </row>
    <row r="4882" spans="1:4" outlineLevel="1" x14ac:dyDescent="0.25">
      <c r="A4882" t="s">
        <v>590</v>
      </c>
      <c r="B4882" t="s">
        <v>26</v>
      </c>
      <c r="C4882" s="1" t="str">
        <f>HYPERLINK("http://продеталь.рф/search.html?article=PG370000M3R00","PG370000M3R00")</f>
        <v>PG370000M3R00</v>
      </c>
      <c r="D4882" t="s">
        <v>9</v>
      </c>
    </row>
    <row r="4883" spans="1:4" outlineLevel="1" x14ac:dyDescent="0.25">
      <c r="A4883" t="s">
        <v>590</v>
      </c>
      <c r="B4883" t="s">
        <v>27</v>
      </c>
      <c r="C4883" s="1" t="str">
        <f>HYPERLINK("http://продеталь.рф/search.html?article=PG37009C0","PG37009C0")</f>
        <v>PG37009C0</v>
      </c>
      <c r="D4883" t="s">
        <v>9</v>
      </c>
    </row>
    <row r="4884" spans="1:4" outlineLevel="1" x14ac:dyDescent="0.25">
      <c r="A4884" t="s">
        <v>590</v>
      </c>
      <c r="B4884" t="s">
        <v>27</v>
      </c>
      <c r="C4884" s="1" t="str">
        <f>HYPERLINK("http://продеталь.рф/search.html?article=PG37009B0","PG37009B0")</f>
        <v>PG37009B0</v>
      </c>
      <c r="D4884" t="s">
        <v>9</v>
      </c>
    </row>
    <row r="4885" spans="1:4" outlineLevel="1" x14ac:dyDescent="0.25">
      <c r="A4885" t="s">
        <v>590</v>
      </c>
      <c r="B4885" t="s">
        <v>27</v>
      </c>
      <c r="C4885" s="1" t="str">
        <f>HYPERLINK("http://продеталь.рф/search.html?article=PPG30011A","PPG30011A")</f>
        <v>PPG30011A</v>
      </c>
      <c r="D4885" t="s">
        <v>6</v>
      </c>
    </row>
    <row r="4886" spans="1:4" outlineLevel="1" x14ac:dyDescent="0.25">
      <c r="A4886" t="s">
        <v>590</v>
      </c>
      <c r="B4886" t="s">
        <v>3</v>
      </c>
      <c r="C4886" s="1" t="str">
        <f>HYPERLINK("http://продеталь.рф/search.html?article=200166052","200166052")</f>
        <v>200166052</v>
      </c>
      <c r="D4886" t="s">
        <v>4</v>
      </c>
    </row>
    <row r="4887" spans="1:4" outlineLevel="1" x14ac:dyDescent="0.25">
      <c r="A4887" t="s">
        <v>590</v>
      </c>
      <c r="B4887" t="s">
        <v>3</v>
      </c>
      <c r="C4887" s="1" t="str">
        <f>HYPERLINK("http://продеталь.рф/search.html?article=200165052","200165052")</f>
        <v>200165052</v>
      </c>
      <c r="D4887" t="s">
        <v>4</v>
      </c>
    </row>
    <row r="4888" spans="1:4" outlineLevel="1" x14ac:dyDescent="0.25">
      <c r="A4888" t="s">
        <v>590</v>
      </c>
      <c r="B4888" t="s">
        <v>3</v>
      </c>
      <c r="C4888" s="1" t="str">
        <f>HYPERLINK("http://продеталь.рф/search.html?article=200166152","200166152")</f>
        <v>200166152</v>
      </c>
      <c r="D4888" t="s">
        <v>4</v>
      </c>
    </row>
    <row r="4889" spans="1:4" outlineLevel="1" x14ac:dyDescent="0.25">
      <c r="A4889" t="s">
        <v>590</v>
      </c>
      <c r="B4889" t="s">
        <v>3</v>
      </c>
      <c r="C4889" s="1" t="str">
        <f>HYPERLINK("http://продеталь.рф/search.html?article=200165152","200165152")</f>
        <v>200165152</v>
      </c>
      <c r="D4889" t="s">
        <v>4</v>
      </c>
    </row>
    <row r="4890" spans="1:4" outlineLevel="1" x14ac:dyDescent="0.25">
      <c r="A4890" t="s">
        <v>590</v>
      </c>
      <c r="B4890" t="s">
        <v>3</v>
      </c>
      <c r="C4890" s="1" t="str">
        <f>HYPERLINK("http://продеталь.рф/search.html?article=20A166E52B","20A166E52B")</f>
        <v>20A166E52B</v>
      </c>
      <c r="D4890" t="s">
        <v>4</v>
      </c>
    </row>
    <row r="4891" spans="1:4" outlineLevel="1" x14ac:dyDescent="0.25">
      <c r="A4891" t="s">
        <v>590</v>
      </c>
      <c r="B4891" t="s">
        <v>3</v>
      </c>
      <c r="C4891" s="1" t="str">
        <f>HYPERLINK("http://продеталь.рф/search.html?article=20A165E52B","20A165E52B")</f>
        <v>20A165E52B</v>
      </c>
      <c r="D4891" t="s">
        <v>4</v>
      </c>
    </row>
    <row r="4892" spans="1:4" outlineLevel="1" x14ac:dyDescent="0.25">
      <c r="A4892" t="s">
        <v>590</v>
      </c>
      <c r="B4892" t="s">
        <v>5</v>
      </c>
      <c r="C4892" s="1" t="str">
        <f>HYPERLINK("http://продеталь.рф/search.html?article=211525","211525")</f>
        <v>211525</v>
      </c>
      <c r="D4892" t="s">
        <v>21</v>
      </c>
    </row>
    <row r="4893" spans="1:4" outlineLevel="1" x14ac:dyDescent="0.25">
      <c r="A4893" t="s">
        <v>590</v>
      </c>
      <c r="B4893" t="s">
        <v>5</v>
      </c>
      <c r="C4893" s="1" t="str">
        <f>HYPERLINK("http://продеталь.рф/search.html?article=211531","211531")</f>
        <v>211531</v>
      </c>
      <c r="D4893" t="s">
        <v>21</v>
      </c>
    </row>
    <row r="4894" spans="1:4" outlineLevel="1" x14ac:dyDescent="0.25">
      <c r="A4894" t="s">
        <v>590</v>
      </c>
      <c r="B4894" t="s">
        <v>5</v>
      </c>
      <c r="C4894" s="1" t="str">
        <f>HYPERLINK("http://продеталь.рф/search.html?article=211532","211532")</f>
        <v>211532</v>
      </c>
      <c r="D4894" t="s">
        <v>21</v>
      </c>
    </row>
    <row r="4895" spans="1:4" outlineLevel="1" x14ac:dyDescent="0.25">
      <c r="A4895" t="s">
        <v>590</v>
      </c>
      <c r="B4895" t="s">
        <v>5</v>
      </c>
      <c r="C4895" s="1" t="str">
        <f>HYPERLINK("http://продеталь.рф/search.html?article=PG11039AR","PG11039AR")</f>
        <v>PG11039AR</v>
      </c>
      <c r="D4895" t="s">
        <v>2</v>
      </c>
    </row>
    <row r="4896" spans="1:4" outlineLevel="1" x14ac:dyDescent="0.25">
      <c r="A4896" t="s">
        <v>590</v>
      </c>
      <c r="B4896" t="s">
        <v>8</v>
      </c>
      <c r="C4896" s="1" t="str">
        <f>HYPERLINK("http://продеталь.рф/search.html?article=104570","104570")</f>
        <v>104570</v>
      </c>
      <c r="D4896" t="s">
        <v>135</v>
      </c>
    </row>
    <row r="4897" spans="1:4" outlineLevel="1" x14ac:dyDescent="0.25">
      <c r="A4897" t="s">
        <v>590</v>
      </c>
      <c r="B4897" t="s">
        <v>40</v>
      </c>
      <c r="C4897" s="1" t="str">
        <f>HYPERLINK("http://продеталь.рф/search.html?article=PG37000G0","PG37000G0")</f>
        <v>PG37000G0</v>
      </c>
      <c r="D4897" t="s">
        <v>9</v>
      </c>
    </row>
    <row r="4898" spans="1:4" outlineLevel="1" x14ac:dyDescent="0.25">
      <c r="A4898" t="s">
        <v>590</v>
      </c>
      <c r="B4898" t="s">
        <v>40</v>
      </c>
      <c r="C4898" s="1" t="str">
        <f>HYPERLINK("http://продеталь.рф/search.html?article=PG07033GA","PG07033GA")</f>
        <v>PG07033GA</v>
      </c>
      <c r="D4898" t="s">
        <v>2</v>
      </c>
    </row>
    <row r="4899" spans="1:4" outlineLevel="1" x14ac:dyDescent="0.25">
      <c r="A4899" t="s">
        <v>590</v>
      </c>
      <c r="B4899" t="s">
        <v>12</v>
      </c>
      <c r="C4899" s="1" t="str">
        <f>HYPERLINK("http://продеталь.рф/search.html?article=PG370930","PG370930")</f>
        <v>PG370930</v>
      </c>
      <c r="D4899" t="s">
        <v>9</v>
      </c>
    </row>
    <row r="4900" spans="1:4" outlineLevel="1" x14ac:dyDescent="0.25">
      <c r="A4900" t="s">
        <v>590</v>
      </c>
      <c r="B4900" t="s">
        <v>71</v>
      </c>
      <c r="C4900" s="1" t="str">
        <f>HYPERLINK("http://продеталь.рф/search.html?article=PG370131","PG370131")</f>
        <v>PG370131</v>
      </c>
      <c r="D4900" t="s">
        <v>9</v>
      </c>
    </row>
    <row r="4901" spans="1:4" outlineLevel="1" x14ac:dyDescent="0.25">
      <c r="A4901" t="s">
        <v>590</v>
      </c>
      <c r="B4901" t="s">
        <v>71</v>
      </c>
      <c r="C4901" s="1" t="str">
        <f>HYPERLINK("http://продеталь.рф/search.html?article=PPG02002AL","PPG02002AL")</f>
        <v>PPG02002AL</v>
      </c>
      <c r="D4901" t="s">
        <v>6</v>
      </c>
    </row>
    <row r="4902" spans="1:4" outlineLevel="1" x14ac:dyDescent="0.25">
      <c r="A4902" t="s">
        <v>590</v>
      </c>
      <c r="B4902" t="s">
        <v>71</v>
      </c>
      <c r="C4902" s="1" t="str">
        <f>HYPERLINK("http://продеталь.рф/search.html?article=PPG02002AR","PPG02002AR")</f>
        <v>PPG02002AR</v>
      </c>
      <c r="D4902" t="s">
        <v>6</v>
      </c>
    </row>
    <row r="4903" spans="1:4" outlineLevel="1" x14ac:dyDescent="0.25">
      <c r="A4903" t="s">
        <v>590</v>
      </c>
      <c r="B4903" t="s">
        <v>71</v>
      </c>
      <c r="C4903" s="1" t="str">
        <f>HYPERLINK("http://продеталь.рф/search.html?article=PPG02001ALRK","PPG02001ALRK")</f>
        <v>PPG02001ALRK</v>
      </c>
      <c r="D4903" t="s">
        <v>6</v>
      </c>
    </row>
    <row r="4904" spans="1:4" outlineLevel="1" x14ac:dyDescent="0.25">
      <c r="A4904" t="s">
        <v>590</v>
      </c>
      <c r="B4904" t="s">
        <v>32</v>
      </c>
      <c r="C4904" s="1" t="str">
        <f>HYPERLINK("http://продеталь.рф/search.html?article=SPGM1003CL","SPGM1003CL")</f>
        <v>SPGM1003CL</v>
      </c>
      <c r="D4904" t="s">
        <v>6</v>
      </c>
    </row>
    <row r="4905" spans="1:4" outlineLevel="1" x14ac:dyDescent="0.25">
      <c r="A4905" t="s">
        <v>590</v>
      </c>
      <c r="B4905" t="s">
        <v>13</v>
      </c>
      <c r="C4905" s="1" t="str">
        <f>HYPERLINK("http://продеталь.рф/search.html?article=5514940","5514940")</f>
        <v>5514940</v>
      </c>
      <c r="D4905" t="s">
        <v>46</v>
      </c>
    </row>
    <row r="4906" spans="1:4" outlineLevel="1" x14ac:dyDescent="0.25">
      <c r="A4906" t="s">
        <v>590</v>
      </c>
      <c r="B4906" t="s">
        <v>13</v>
      </c>
      <c r="C4906" s="1" t="str">
        <f>HYPERLINK("http://продеталь.рф/search.html?article=PPG44018A","PPG44018A")</f>
        <v>PPG44018A</v>
      </c>
      <c r="D4906" t="s">
        <v>6</v>
      </c>
    </row>
    <row r="4907" spans="1:4" x14ac:dyDescent="0.25">
      <c r="A4907" t="s">
        <v>592</v>
      </c>
      <c r="B4907" s="2" t="s">
        <v>592</v>
      </c>
      <c r="C4907" s="2"/>
      <c r="D4907" s="2"/>
    </row>
    <row r="4908" spans="1:4" outlineLevel="1" x14ac:dyDescent="0.25">
      <c r="A4908" t="s">
        <v>592</v>
      </c>
      <c r="B4908" t="s">
        <v>11</v>
      </c>
      <c r="C4908" s="1" t="str">
        <f>HYPERLINK("http://продеталь.рф/search.html?article=PG04029BA","PG04029BA")</f>
        <v>PG04029BA</v>
      </c>
      <c r="D4908" t="s">
        <v>2</v>
      </c>
    </row>
    <row r="4909" spans="1:4" outlineLevel="1" x14ac:dyDescent="0.25">
      <c r="A4909" t="s">
        <v>592</v>
      </c>
      <c r="B4909" t="s">
        <v>11</v>
      </c>
      <c r="C4909" s="1" t="str">
        <f>HYPERLINK("http://продеталь.рф/search.html?article=30808200","30808200")</f>
        <v>30808200</v>
      </c>
      <c r="D4909" t="s">
        <v>18</v>
      </c>
    </row>
    <row r="4910" spans="1:4" outlineLevel="1" x14ac:dyDescent="0.25">
      <c r="A4910" t="s">
        <v>592</v>
      </c>
      <c r="B4910" t="s">
        <v>15</v>
      </c>
      <c r="C4910" s="1" t="str">
        <f>HYPERLINK("http://продеталь.рф/search.html?article=388PGD146TPL","388PGD146TPL")</f>
        <v>388PGD146TPL</v>
      </c>
      <c r="D4910" t="s">
        <v>4</v>
      </c>
    </row>
    <row r="4911" spans="1:4" outlineLevel="1" x14ac:dyDescent="0.25">
      <c r="A4911" t="s">
        <v>592</v>
      </c>
      <c r="B4911" t="s">
        <v>15</v>
      </c>
      <c r="C4911" s="1" t="str">
        <f>HYPERLINK("http://продеталь.рф/search.html?article=388PGD145TPSL","388PGD145TPSL")</f>
        <v>388PGD145TPSL</v>
      </c>
      <c r="D4911" t="s">
        <v>4</v>
      </c>
    </row>
    <row r="4912" spans="1:4" outlineLevel="1" x14ac:dyDescent="0.25">
      <c r="A4912" t="s">
        <v>592</v>
      </c>
      <c r="B4912" t="s">
        <v>160</v>
      </c>
      <c r="C4912" s="1" t="str">
        <f>HYPERLINK("http://продеталь.рф/search.html?article=312029","312029")</f>
        <v>312029</v>
      </c>
      <c r="D4912" t="s">
        <v>21</v>
      </c>
    </row>
    <row r="4913" spans="1:4" outlineLevel="1" x14ac:dyDescent="0.25">
      <c r="A4913" t="s">
        <v>592</v>
      </c>
      <c r="B4913" t="s">
        <v>1</v>
      </c>
      <c r="C4913" s="1" t="str">
        <f>HYPERLINK("http://продеталь.рф/search.html?article=PG20021B","PG20021B")</f>
        <v>PG20021B</v>
      </c>
      <c r="D4913" t="s">
        <v>2</v>
      </c>
    </row>
    <row r="4914" spans="1:4" outlineLevel="1" x14ac:dyDescent="0.25">
      <c r="A4914" t="s">
        <v>592</v>
      </c>
      <c r="B4914" t="s">
        <v>24</v>
      </c>
      <c r="C4914" s="1" t="str">
        <f>HYPERLINK("http://продеталь.рф/search.html?article=30808510","30808510")</f>
        <v>30808510</v>
      </c>
      <c r="D4914" t="s">
        <v>18</v>
      </c>
    </row>
    <row r="4915" spans="1:4" outlineLevel="1" x14ac:dyDescent="0.25">
      <c r="A4915" t="s">
        <v>592</v>
      </c>
      <c r="B4915" t="s">
        <v>24</v>
      </c>
      <c r="C4915" s="1" t="str">
        <f>HYPERLINK("http://продеталь.рф/search.html?article=30808500","30808500")</f>
        <v>30808500</v>
      </c>
      <c r="D4915" t="s">
        <v>18</v>
      </c>
    </row>
    <row r="4916" spans="1:4" outlineLevel="1" x14ac:dyDescent="0.25">
      <c r="A4916" t="s">
        <v>592</v>
      </c>
      <c r="B4916" t="s">
        <v>240</v>
      </c>
      <c r="C4916" s="1" t="str">
        <f>HYPERLINK("http://продеталь.рф/search.html?article=VPGM1009DR","VPGM1009DR")</f>
        <v>VPGM1009DR</v>
      </c>
      <c r="D4916" t="s">
        <v>6</v>
      </c>
    </row>
    <row r="4917" spans="1:4" outlineLevel="1" x14ac:dyDescent="0.25">
      <c r="A4917" t="s">
        <v>592</v>
      </c>
      <c r="B4917" t="s">
        <v>26</v>
      </c>
      <c r="C4917" s="1" t="str">
        <f>HYPERLINK("http://продеталь.рф/search.html?article=PPG04030MBR","PPG04030MBR")</f>
        <v>PPG04030MBR</v>
      </c>
      <c r="D4917" t="s">
        <v>6</v>
      </c>
    </row>
    <row r="4918" spans="1:4" outlineLevel="1" x14ac:dyDescent="0.25">
      <c r="A4918" t="s">
        <v>592</v>
      </c>
      <c r="B4918" t="s">
        <v>26</v>
      </c>
      <c r="C4918" s="1" t="str">
        <f>HYPERLINK("http://продеталь.рф/search.html?article=PG04029MAV","PG04029MAV")</f>
        <v>PG04029MAV</v>
      </c>
      <c r="D4918" t="s">
        <v>2</v>
      </c>
    </row>
    <row r="4919" spans="1:4" outlineLevel="1" x14ac:dyDescent="0.25">
      <c r="A4919" t="s">
        <v>592</v>
      </c>
      <c r="B4919" t="s">
        <v>26</v>
      </c>
      <c r="C4919" s="1" t="str">
        <f>HYPERLINK("http://продеталь.рф/search.html?article=PG04037MAL","PG04037MAL")</f>
        <v>PG04037MAL</v>
      </c>
      <c r="D4919" t="s">
        <v>2</v>
      </c>
    </row>
    <row r="4920" spans="1:4" outlineLevel="1" x14ac:dyDescent="0.25">
      <c r="A4920" t="s">
        <v>592</v>
      </c>
      <c r="B4920" t="s">
        <v>26</v>
      </c>
      <c r="C4920" s="1" t="str">
        <f>HYPERLINK("http://продеталь.рф/search.html?article=PG04037MAR","PG04037MAR")</f>
        <v>PG04037MAR</v>
      </c>
      <c r="D4920" t="s">
        <v>2</v>
      </c>
    </row>
    <row r="4921" spans="1:4" outlineLevel="1" x14ac:dyDescent="0.25">
      <c r="A4921" t="s">
        <v>592</v>
      </c>
      <c r="B4921" t="s">
        <v>3</v>
      </c>
      <c r="C4921" s="1" t="str">
        <f>HYPERLINK("http://продеталь.рф/search.html?article=201498052","201498052")</f>
        <v>201498052</v>
      </c>
      <c r="D4921" t="s">
        <v>4</v>
      </c>
    </row>
    <row r="4922" spans="1:4" outlineLevel="1" x14ac:dyDescent="0.25">
      <c r="A4922" t="s">
        <v>592</v>
      </c>
      <c r="B4922" t="s">
        <v>3</v>
      </c>
      <c r="C4922" s="1" t="str">
        <f>HYPERLINK("http://продеталь.рф/search.html?article=201497052","201497052")</f>
        <v>201497052</v>
      </c>
      <c r="D4922" t="s">
        <v>4</v>
      </c>
    </row>
    <row r="4923" spans="1:4" outlineLevel="1" x14ac:dyDescent="0.25">
      <c r="A4923" t="s">
        <v>592</v>
      </c>
      <c r="B4923" t="s">
        <v>3</v>
      </c>
      <c r="C4923" s="1" t="str">
        <f>HYPERLINK("http://продеталь.рф/search.html?article=2014198052","2014198052")</f>
        <v>2014198052</v>
      </c>
      <c r="D4923" t="s">
        <v>4</v>
      </c>
    </row>
    <row r="4924" spans="1:4" outlineLevel="1" x14ac:dyDescent="0.25">
      <c r="A4924" t="s">
        <v>592</v>
      </c>
      <c r="B4924" t="s">
        <v>5</v>
      </c>
      <c r="C4924" s="1" t="str">
        <f>HYPERLINK("http://продеталь.рф/search.html?article=PPG01103AR","PPG01103AR")</f>
        <v>PPG01103AR</v>
      </c>
      <c r="D4924" t="s">
        <v>6</v>
      </c>
    </row>
    <row r="4925" spans="1:4" outlineLevel="1" x14ac:dyDescent="0.25">
      <c r="A4925" t="s">
        <v>592</v>
      </c>
      <c r="B4925" t="s">
        <v>19</v>
      </c>
      <c r="C4925" s="1" t="str">
        <f>HYPERLINK("http://продеталь.рф/search.html?article=190681012","190681012")</f>
        <v>190681012</v>
      </c>
      <c r="D4925" t="s">
        <v>4</v>
      </c>
    </row>
    <row r="4926" spans="1:4" outlineLevel="1" x14ac:dyDescent="0.25">
      <c r="A4926" t="s">
        <v>592</v>
      </c>
      <c r="B4926" t="s">
        <v>13</v>
      </c>
      <c r="C4926" s="1" t="str">
        <f>HYPERLINK("http://продеталь.рф/search.html?article=PPG44019A","PPG44019A")</f>
        <v>PPG44019A</v>
      </c>
      <c r="D4926" t="s">
        <v>6</v>
      </c>
    </row>
    <row r="4927" spans="1:4" outlineLevel="1" x14ac:dyDescent="0.25">
      <c r="A4927" t="s">
        <v>592</v>
      </c>
      <c r="B4927" t="s">
        <v>13</v>
      </c>
      <c r="C4927" s="1" t="str">
        <f>HYPERLINK("http://продеталь.рф/search.html?article=PPG44029RA","PPG44029RA")</f>
        <v>PPG44029RA</v>
      </c>
      <c r="D4927" t="s">
        <v>6</v>
      </c>
    </row>
    <row r="4928" spans="1:4" x14ac:dyDescent="0.25">
      <c r="A4928" t="s">
        <v>593</v>
      </c>
      <c r="B4928" s="2" t="s">
        <v>593</v>
      </c>
      <c r="C4928" s="2"/>
      <c r="D4928" s="2"/>
    </row>
    <row r="4929" spans="1:4" outlineLevel="1" x14ac:dyDescent="0.25">
      <c r="A4929" t="s">
        <v>593</v>
      </c>
      <c r="B4929" t="s">
        <v>15</v>
      </c>
      <c r="C4929" s="1" t="str">
        <f>HYPERLINK("http://продеталь.рф/search.html?article=VPGM1013ML","VPGM1013ML")</f>
        <v>VPGM1013ML</v>
      </c>
      <c r="D4929" t="s">
        <v>6</v>
      </c>
    </row>
    <row r="4930" spans="1:4" x14ac:dyDescent="0.25">
      <c r="A4930" t="s">
        <v>594</v>
      </c>
      <c r="B4930" s="2" t="s">
        <v>594</v>
      </c>
      <c r="C4930" s="2"/>
      <c r="D4930" s="2"/>
    </row>
    <row r="4931" spans="1:4" outlineLevel="1" x14ac:dyDescent="0.25">
      <c r="A4931" t="s">
        <v>594</v>
      </c>
      <c r="B4931" t="s">
        <v>11</v>
      </c>
      <c r="C4931" s="1" t="str">
        <f>HYPERLINK("http://продеталь.рф/search.html?article=PG450000","PG450000")</f>
        <v>PG450000</v>
      </c>
      <c r="D4931" t="s">
        <v>9</v>
      </c>
    </row>
    <row r="4932" spans="1:4" outlineLevel="1" x14ac:dyDescent="0.25">
      <c r="A4932" t="s">
        <v>594</v>
      </c>
      <c r="B4932" t="s">
        <v>24</v>
      </c>
      <c r="C4932" s="1" t="str">
        <f>HYPERLINK("http://продеталь.рф/search.html?article=17100111","17100111")</f>
        <v>17100111</v>
      </c>
      <c r="D4932" t="s">
        <v>47</v>
      </c>
    </row>
    <row r="4933" spans="1:4" outlineLevel="1" x14ac:dyDescent="0.25">
      <c r="A4933" t="s">
        <v>594</v>
      </c>
      <c r="B4933" t="s">
        <v>50</v>
      </c>
      <c r="C4933" s="1" t="str">
        <f>HYPERLINK("http://продеталь.рф/search.html?article=PG45093S2","PG45093S2")</f>
        <v>PG45093S2</v>
      </c>
      <c r="D4933" t="s">
        <v>9</v>
      </c>
    </row>
    <row r="4934" spans="1:4" outlineLevel="1" x14ac:dyDescent="0.25">
      <c r="A4934" t="s">
        <v>594</v>
      </c>
      <c r="B4934" t="s">
        <v>16</v>
      </c>
      <c r="C4934" s="1" t="str">
        <f>HYPERLINK("http://продеталь.рф/search.html?article=183342932","183342932")</f>
        <v>183342932</v>
      </c>
      <c r="D4934" t="s">
        <v>4</v>
      </c>
    </row>
    <row r="4935" spans="1:4" outlineLevel="1" x14ac:dyDescent="0.25">
      <c r="A4935" t="s">
        <v>594</v>
      </c>
      <c r="B4935" t="s">
        <v>16</v>
      </c>
      <c r="C4935" s="1" t="str">
        <f>HYPERLINK("http://продеталь.рф/search.html?article=183341932","183341932")</f>
        <v>183341932</v>
      </c>
      <c r="D4935" t="s">
        <v>4</v>
      </c>
    </row>
    <row r="4936" spans="1:4" outlineLevel="1" x14ac:dyDescent="0.25">
      <c r="A4936" t="s">
        <v>594</v>
      </c>
      <c r="B4936" t="s">
        <v>13</v>
      </c>
      <c r="C4936" s="1" t="str">
        <f>HYPERLINK("http://продеталь.рф/search.html?article=PG45000R0","PG45000R0")</f>
        <v>PG45000R0</v>
      </c>
      <c r="D4936" t="s">
        <v>9</v>
      </c>
    </row>
    <row r="4937" spans="1:4" x14ac:dyDescent="0.25">
      <c r="A4937" t="s">
        <v>595</v>
      </c>
      <c r="B4937" s="2" t="s">
        <v>595</v>
      </c>
      <c r="C4937" s="2"/>
      <c r="D4937" s="2"/>
    </row>
    <row r="4938" spans="1:4" outlineLevel="1" x14ac:dyDescent="0.25">
      <c r="A4938" t="s">
        <v>595</v>
      </c>
      <c r="B4938" t="s">
        <v>11</v>
      </c>
      <c r="C4938" s="1" t="str">
        <f>HYPERLINK("http://продеталь.рф/search.html?article=PG46000A0","PG46000A0")</f>
        <v>PG46000A0</v>
      </c>
      <c r="D4938" t="s">
        <v>9</v>
      </c>
    </row>
    <row r="4939" spans="1:4" outlineLevel="1" x14ac:dyDescent="0.25">
      <c r="A4939" t="s">
        <v>595</v>
      </c>
      <c r="B4939" t="s">
        <v>11</v>
      </c>
      <c r="C4939" s="1" t="str">
        <f>HYPERLINK("http://продеталь.рф/search.html?article=PG460870","PG460870")</f>
        <v>PG460870</v>
      </c>
      <c r="D4939" t="s">
        <v>9</v>
      </c>
    </row>
    <row r="4940" spans="1:4" outlineLevel="1" x14ac:dyDescent="0.25">
      <c r="A4940" t="s">
        <v>595</v>
      </c>
      <c r="B4940" t="s">
        <v>79</v>
      </c>
      <c r="C4940" s="1" t="str">
        <f>HYPERLINK("http://продеталь.рф/search.html?article=PG46000400000","PG46000400000")</f>
        <v>PG46000400000</v>
      </c>
      <c r="D4940" t="s">
        <v>9</v>
      </c>
    </row>
    <row r="4941" spans="1:4" outlineLevel="1" x14ac:dyDescent="0.25">
      <c r="A4941" t="s">
        <v>595</v>
      </c>
      <c r="B4941" t="s">
        <v>74</v>
      </c>
      <c r="C4941" s="1" t="str">
        <f>HYPERLINK("http://продеталь.рф/search.html?article=PG46004S0","PG46004S0")</f>
        <v>PG46004S0</v>
      </c>
      <c r="D4941" t="s">
        <v>9</v>
      </c>
    </row>
    <row r="4942" spans="1:4" outlineLevel="1" x14ac:dyDescent="0.25">
      <c r="A4942" t="s">
        <v>595</v>
      </c>
      <c r="B4942" t="s">
        <v>23</v>
      </c>
      <c r="C4942" s="1" t="str">
        <f>HYPERLINK("http://продеталь.рф/search.html?article=1158170015B3","1158170015B3")</f>
        <v>1158170015B3</v>
      </c>
      <c r="D4942" t="s">
        <v>4</v>
      </c>
    </row>
    <row r="4943" spans="1:4" outlineLevel="1" x14ac:dyDescent="0.25">
      <c r="A4943" t="s">
        <v>595</v>
      </c>
      <c r="B4943" t="s">
        <v>24</v>
      </c>
      <c r="C4943" s="1" t="str">
        <f>HYPERLINK("http://продеталь.рф/search.html?article=PG10010AL","PG10010AL")</f>
        <v>PG10010AL</v>
      </c>
      <c r="D4943" t="s">
        <v>2</v>
      </c>
    </row>
    <row r="4944" spans="1:4" outlineLevel="1" x14ac:dyDescent="0.25">
      <c r="A4944" t="s">
        <v>595</v>
      </c>
      <c r="B4944" t="s">
        <v>103</v>
      </c>
      <c r="C4944" s="1" t="str">
        <f>HYPERLINK("http://продеталь.рф/search.html?article=9322BL","9322BL")</f>
        <v>9322BL</v>
      </c>
      <c r="D4944" t="s">
        <v>36</v>
      </c>
    </row>
    <row r="4945" spans="1:4" outlineLevel="1" x14ac:dyDescent="0.25">
      <c r="A4945" t="s">
        <v>595</v>
      </c>
      <c r="B4945" t="s">
        <v>66</v>
      </c>
      <c r="C4945" s="1" t="str">
        <f>HYPERLINK("http://продеталь.рф/search.html?article=BK004","BK004")</f>
        <v>BK004</v>
      </c>
      <c r="D4945" t="s">
        <v>6</v>
      </c>
    </row>
    <row r="4946" spans="1:4" outlineLevel="1" x14ac:dyDescent="0.25">
      <c r="A4946" t="s">
        <v>595</v>
      </c>
      <c r="B4946" t="s">
        <v>26</v>
      </c>
      <c r="C4946" s="1" t="str">
        <f>HYPERLINK("http://продеталь.рф/search.html?article=PG46000M2","PG46000M2")</f>
        <v>PG46000M2</v>
      </c>
      <c r="D4946" t="s">
        <v>9</v>
      </c>
    </row>
    <row r="4947" spans="1:4" outlineLevel="1" x14ac:dyDescent="0.25">
      <c r="A4947" t="s">
        <v>595</v>
      </c>
      <c r="B4947" t="s">
        <v>26</v>
      </c>
      <c r="C4947" s="1" t="str">
        <f>HYPERLINK("http://продеталь.рф/search.html?article=PG46000M1","PG46000M1")</f>
        <v>PG46000M1</v>
      </c>
      <c r="D4947" t="s">
        <v>9</v>
      </c>
    </row>
    <row r="4948" spans="1:4" outlineLevel="1" x14ac:dyDescent="0.25">
      <c r="A4948" t="s">
        <v>595</v>
      </c>
      <c r="B4948" t="s">
        <v>51</v>
      </c>
      <c r="C4948" s="1" t="str">
        <f>HYPERLINK("http://продеталь.рф/search.html?article=PG460270","PG460270")</f>
        <v>PG460270</v>
      </c>
      <c r="D4948" t="s">
        <v>9</v>
      </c>
    </row>
    <row r="4949" spans="1:4" outlineLevel="1" x14ac:dyDescent="0.25">
      <c r="A4949" t="s">
        <v>595</v>
      </c>
      <c r="B4949" t="s">
        <v>3</v>
      </c>
      <c r="C4949" s="1" t="str">
        <f>HYPERLINK("http://продеталь.рф/search.html?article=203701082","203701082")</f>
        <v>203701082</v>
      </c>
      <c r="D4949" t="s">
        <v>4</v>
      </c>
    </row>
    <row r="4950" spans="1:4" outlineLevel="1" x14ac:dyDescent="0.25">
      <c r="A4950" t="s">
        <v>595</v>
      </c>
      <c r="B4950" t="s">
        <v>5</v>
      </c>
      <c r="C4950" s="1" t="str">
        <f>HYPERLINK("http://продеталь.рф/search.html?article=PG11010AL","PG11010AL")</f>
        <v>PG11010AL</v>
      </c>
      <c r="D4950" t="s">
        <v>2</v>
      </c>
    </row>
    <row r="4951" spans="1:4" outlineLevel="1" x14ac:dyDescent="0.25">
      <c r="A4951" t="s">
        <v>595</v>
      </c>
      <c r="B4951" t="s">
        <v>5</v>
      </c>
      <c r="C4951" s="1" t="str">
        <f>HYPERLINK("http://продеталь.рф/search.html?article=PG11010AR","PG11010AR")</f>
        <v>PG11010AR</v>
      </c>
      <c r="D4951" t="s">
        <v>2</v>
      </c>
    </row>
    <row r="4952" spans="1:4" outlineLevel="1" x14ac:dyDescent="0.25">
      <c r="A4952" t="s">
        <v>595</v>
      </c>
      <c r="B4952" t="s">
        <v>54</v>
      </c>
      <c r="C4952" s="1" t="str">
        <f>HYPERLINK("http://продеталь.рф/search.html?article=PPG76000EL","PPG76000EL")</f>
        <v>PPG76000EL</v>
      </c>
      <c r="D4952" t="s">
        <v>6</v>
      </c>
    </row>
    <row r="4953" spans="1:4" outlineLevel="1" x14ac:dyDescent="0.25">
      <c r="A4953" t="s">
        <v>595</v>
      </c>
      <c r="B4953" t="s">
        <v>54</v>
      </c>
      <c r="C4953" s="1" t="str">
        <f>HYPERLINK("http://продеталь.рф/search.html?article=PPG76000ER","PPG76000ER")</f>
        <v>PPG76000ER</v>
      </c>
      <c r="D4953" t="s">
        <v>6</v>
      </c>
    </row>
    <row r="4954" spans="1:4" outlineLevel="1" x14ac:dyDescent="0.25">
      <c r="A4954" t="s">
        <v>595</v>
      </c>
      <c r="B4954" t="s">
        <v>28</v>
      </c>
      <c r="C4954" s="1" t="str">
        <f>HYPERLINK("http://продеталь.рф/search.html?article=RA63731A","RA63731A")</f>
        <v>RA63731A</v>
      </c>
      <c r="D4954" t="s">
        <v>6</v>
      </c>
    </row>
    <row r="4955" spans="1:4" outlineLevel="1" x14ac:dyDescent="0.25">
      <c r="A4955" t="s">
        <v>595</v>
      </c>
      <c r="B4955" t="s">
        <v>263</v>
      </c>
      <c r="C4955" s="1" t="str">
        <f>HYPERLINK("http://продеталь.рф/search.html?article=PG46009S2","PG46009S2")</f>
        <v>PG46009S2</v>
      </c>
      <c r="D4955" t="s">
        <v>9</v>
      </c>
    </row>
    <row r="4956" spans="1:4" outlineLevel="1" x14ac:dyDescent="0.25">
      <c r="A4956" t="s">
        <v>595</v>
      </c>
      <c r="B4956" t="s">
        <v>263</v>
      </c>
      <c r="C4956" s="1" t="str">
        <f>HYPERLINK("http://продеталь.рф/search.html?article=PG46009S1","PG46009S1")</f>
        <v>PG46009S1</v>
      </c>
      <c r="D4956" t="s">
        <v>9</v>
      </c>
    </row>
    <row r="4957" spans="1:4" outlineLevel="1" x14ac:dyDescent="0.25">
      <c r="A4957" t="s">
        <v>595</v>
      </c>
      <c r="B4957" t="s">
        <v>118</v>
      </c>
      <c r="C4957" s="1" t="str">
        <f>HYPERLINK("http://продеталь.рф/search.html?article=SPG2001L","SPG2001L")</f>
        <v>SPG2001L</v>
      </c>
      <c r="D4957" t="s">
        <v>63</v>
      </c>
    </row>
    <row r="4958" spans="1:4" outlineLevel="1" x14ac:dyDescent="0.25">
      <c r="A4958" t="s">
        <v>595</v>
      </c>
      <c r="B4958" t="s">
        <v>13</v>
      </c>
      <c r="C4958" s="1" t="str">
        <f>HYPERLINK("http://продеталь.рф/search.html?article=PG46000R0","PG46000R0")</f>
        <v>PG46000R0</v>
      </c>
      <c r="D4958" t="s">
        <v>9</v>
      </c>
    </row>
    <row r="4959" spans="1:4" x14ac:dyDescent="0.25">
      <c r="A4959" t="s">
        <v>596</v>
      </c>
      <c r="B4959" s="2" t="s">
        <v>596</v>
      </c>
      <c r="C4959" s="2"/>
      <c r="D4959" s="2"/>
    </row>
    <row r="4960" spans="1:4" outlineLevel="1" x14ac:dyDescent="0.25">
      <c r="A4960" t="s">
        <v>596</v>
      </c>
      <c r="B4960" t="s">
        <v>11</v>
      </c>
      <c r="C4960" s="1" t="str">
        <f>HYPERLINK("http://продеталь.рф/search.html?article=PG04016BA","PG04016BA")</f>
        <v>PG04016BA</v>
      </c>
      <c r="D4960" t="s">
        <v>2</v>
      </c>
    </row>
    <row r="4961" spans="1:4" outlineLevel="1" x14ac:dyDescent="0.25">
      <c r="A4961" t="s">
        <v>596</v>
      </c>
      <c r="B4961" t="s">
        <v>15</v>
      </c>
      <c r="C4961" s="1" t="str">
        <f>HYPERLINK("http://продеталь.рф/search.html?article=3260064","3260064")</f>
        <v>3260064</v>
      </c>
      <c r="D4961" t="s">
        <v>4</v>
      </c>
    </row>
    <row r="4962" spans="1:4" outlineLevel="1" x14ac:dyDescent="0.25">
      <c r="A4962" t="s">
        <v>596</v>
      </c>
      <c r="B4962" t="s">
        <v>15</v>
      </c>
      <c r="C4962" s="1" t="str">
        <f>HYPERLINK("http://продеталь.рф/search.html?article=3260063","3260063")</f>
        <v>3260063</v>
      </c>
      <c r="D4962" t="s">
        <v>4</v>
      </c>
    </row>
    <row r="4963" spans="1:4" outlineLevel="1" x14ac:dyDescent="0.25">
      <c r="A4963" t="s">
        <v>596</v>
      </c>
      <c r="B4963" t="s">
        <v>101</v>
      </c>
      <c r="C4963" s="1" t="str">
        <f>HYPERLINK("http://продеталь.рф/search.html?article=PG99017CA","PG99017CA")</f>
        <v>PG99017CA</v>
      </c>
      <c r="D4963" t="s">
        <v>2</v>
      </c>
    </row>
    <row r="4964" spans="1:4" outlineLevel="1" x14ac:dyDescent="0.25">
      <c r="A4964" t="s">
        <v>596</v>
      </c>
      <c r="B4964" t="s">
        <v>23</v>
      </c>
      <c r="C4964" s="1" t="str">
        <f>HYPERLINK("http://продеталь.рф/search.html?article=110240012","110240012")</f>
        <v>110240012</v>
      </c>
      <c r="D4964" t="s">
        <v>4</v>
      </c>
    </row>
    <row r="4965" spans="1:4" outlineLevel="1" x14ac:dyDescent="0.25">
      <c r="A4965" t="s">
        <v>596</v>
      </c>
      <c r="B4965" t="s">
        <v>23</v>
      </c>
      <c r="C4965" s="1" t="str">
        <f>HYPERLINK("http://продеталь.рф/search.html?article=110239012","110239012")</f>
        <v>110239012</v>
      </c>
      <c r="D4965" t="s">
        <v>4</v>
      </c>
    </row>
    <row r="4966" spans="1:4" outlineLevel="1" x14ac:dyDescent="0.25">
      <c r="A4966" t="s">
        <v>596</v>
      </c>
      <c r="B4966" t="s">
        <v>1</v>
      </c>
      <c r="C4966" s="1" t="str">
        <f>HYPERLINK("http://продеталь.рф/search.html?article=00546030","00546030")</f>
        <v>00546030</v>
      </c>
      <c r="D4966" t="s">
        <v>586</v>
      </c>
    </row>
    <row r="4967" spans="1:4" outlineLevel="1" x14ac:dyDescent="0.25">
      <c r="A4967" t="s">
        <v>596</v>
      </c>
      <c r="B4967" t="s">
        <v>66</v>
      </c>
      <c r="C4967" s="1" t="str">
        <f>HYPERLINK("http://продеталь.рф/search.html?article=BK026","BK026")</f>
        <v>BK026</v>
      </c>
      <c r="D4967" t="s">
        <v>6</v>
      </c>
    </row>
    <row r="4968" spans="1:4" outlineLevel="1" x14ac:dyDescent="0.25">
      <c r="A4968" t="s">
        <v>596</v>
      </c>
      <c r="B4968" t="s">
        <v>26</v>
      </c>
      <c r="C4968" s="1" t="str">
        <f>HYPERLINK("http://продеталь.рф/search.html?article=PPG99016MAL","PPG99016MAL")</f>
        <v>PPG99016MAL</v>
      </c>
      <c r="D4968" t="s">
        <v>6</v>
      </c>
    </row>
    <row r="4969" spans="1:4" outlineLevel="1" x14ac:dyDescent="0.25">
      <c r="A4969" t="s">
        <v>596</v>
      </c>
      <c r="B4969" t="s">
        <v>26</v>
      </c>
      <c r="C4969" s="1" t="str">
        <f>HYPERLINK("http://продеталь.рф/search.html?article=PPG99016MAR","PPG99016MAR")</f>
        <v>PPG99016MAR</v>
      </c>
      <c r="D4969" t="s">
        <v>6</v>
      </c>
    </row>
    <row r="4970" spans="1:4" outlineLevel="1" x14ac:dyDescent="0.25">
      <c r="A4970" t="s">
        <v>596</v>
      </c>
      <c r="B4970" t="s">
        <v>26</v>
      </c>
      <c r="C4970" s="1" t="str">
        <f>HYPERLINK("http://продеталь.рф/search.html?article=PG04016MCR","PG04016MCR")</f>
        <v>PG04016MCR</v>
      </c>
      <c r="D4970" t="s">
        <v>2</v>
      </c>
    </row>
    <row r="4971" spans="1:4" outlineLevel="1" x14ac:dyDescent="0.25">
      <c r="A4971" t="s">
        <v>596</v>
      </c>
      <c r="B4971" t="s">
        <v>3</v>
      </c>
      <c r="C4971" s="1" t="str">
        <f>HYPERLINK("http://продеталь.рф/search.html?article=205778082","205778082")</f>
        <v>205778082</v>
      </c>
      <c r="D4971" t="s">
        <v>4</v>
      </c>
    </row>
    <row r="4972" spans="1:4" outlineLevel="1" x14ac:dyDescent="0.25">
      <c r="A4972" t="s">
        <v>596</v>
      </c>
      <c r="B4972" t="s">
        <v>3</v>
      </c>
      <c r="C4972" s="1" t="str">
        <f>HYPERLINK("http://продеталь.рф/search.html?article=205777082","205777082")</f>
        <v>205777082</v>
      </c>
      <c r="D4972" t="s">
        <v>4</v>
      </c>
    </row>
    <row r="4973" spans="1:4" outlineLevel="1" x14ac:dyDescent="0.25">
      <c r="A4973" t="s">
        <v>596</v>
      </c>
      <c r="B4973" t="s">
        <v>5</v>
      </c>
      <c r="C4973" s="1" t="str">
        <f>HYPERLINK("http://продеталь.рф/search.html?article=PG11022AL","PG11022AL")</f>
        <v>PG11022AL</v>
      </c>
      <c r="D4973" t="s">
        <v>2</v>
      </c>
    </row>
    <row r="4974" spans="1:4" outlineLevel="1" x14ac:dyDescent="0.25">
      <c r="A4974" t="s">
        <v>596</v>
      </c>
      <c r="B4974" t="s">
        <v>5</v>
      </c>
      <c r="C4974" s="1" t="str">
        <f>HYPERLINK("http://продеталь.рф/search.html?article=PG11022AR","PG11022AR")</f>
        <v>PG11022AR</v>
      </c>
      <c r="D4974" t="s">
        <v>2</v>
      </c>
    </row>
    <row r="4975" spans="1:4" outlineLevel="1" x14ac:dyDescent="0.25">
      <c r="A4975" t="s">
        <v>596</v>
      </c>
      <c r="B4975" t="s">
        <v>19</v>
      </c>
      <c r="C4975" s="1" t="str">
        <f>HYPERLINK("http://продеталь.рф/search.html?article=195338052","195338052")</f>
        <v>195338052</v>
      </c>
      <c r="D4975" t="s">
        <v>4</v>
      </c>
    </row>
    <row r="4976" spans="1:4" outlineLevel="1" x14ac:dyDescent="0.25">
      <c r="A4976" t="s">
        <v>596</v>
      </c>
      <c r="B4976" t="s">
        <v>19</v>
      </c>
      <c r="C4976" s="1" t="str">
        <f>HYPERLINK("http://продеталь.рф/search.html?article=195337052","195337052")</f>
        <v>195337052</v>
      </c>
      <c r="D4976" t="s">
        <v>4</v>
      </c>
    </row>
    <row r="4977" spans="1:4" outlineLevel="1" x14ac:dyDescent="0.25">
      <c r="A4977" t="s">
        <v>596</v>
      </c>
      <c r="B4977" t="s">
        <v>8</v>
      </c>
      <c r="C4977" s="1" t="str">
        <f>HYPERLINK("http://продеталь.рф/search.html?article=PG46394C0","PG46394C0")</f>
        <v>PG46394C0</v>
      </c>
      <c r="D4977" t="s">
        <v>9</v>
      </c>
    </row>
    <row r="4978" spans="1:4" outlineLevel="1" x14ac:dyDescent="0.25">
      <c r="A4978" t="s">
        <v>596</v>
      </c>
      <c r="B4978" t="s">
        <v>40</v>
      </c>
      <c r="C4978" s="1" t="str">
        <f>HYPERLINK("http://продеталь.рф/search.html?article=PG46000GA0","PG46000GA0")</f>
        <v>PG46000GA0</v>
      </c>
      <c r="D4978" t="s">
        <v>9</v>
      </c>
    </row>
    <row r="4979" spans="1:4" outlineLevel="1" x14ac:dyDescent="0.25">
      <c r="A4979" t="s">
        <v>596</v>
      </c>
      <c r="B4979" t="s">
        <v>118</v>
      </c>
      <c r="C4979" s="1" t="str">
        <f>HYPERLINK("http://продеталь.рф/search.html?article=SPG2002L","SPG2002L")</f>
        <v>SPG2002L</v>
      </c>
      <c r="D4979" t="s">
        <v>63</v>
      </c>
    </row>
    <row r="4980" spans="1:4" x14ac:dyDescent="0.25">
      <c r="A4980" t="s">
        <v>597</v>
      </c>
      <c r="B4980" s="2" t="s">
        <v>597</v>
      </c>
      <c r="C4980" s="2"/>
      <c r="D4980" s="2"/>
    </row>
    <row r="4981" spans="1:4" outlineLevel="1" x14ac:dyDescent="0.25">
      <c r="A4981" t="s">
        <v>597</v>
      </c>
      <c r="B4981" t="s">
        <v>11</v>
      </c>
      <c r="C4981" s="1" t="str">
        <f>HYPERLINK("http://продеталь.рф/search.html?article=PG470000","PG470000")</f>
        <v>PG470000</v>
      </c>
      <c r="D4981" t="s">
        <v>9</v>
      </c>
    </row>
    <row r="4982" spans="1:4" outlineLevel="1" x14ac:dyDescent="0.25">
      <c r="A4982" t="s">
        <v>597</v>
      </c>
      <c r="B4982" t="s">
        <v>101</v>
      </c>
      <c r="C4982" s="1" t="str">
        <f>HYPERLINK("http://продеталь.рф/search.html?article=350PGF00","350PGF00")</f>
        <v>350PGF00</v>
      </c>
      <c r="D4982" t="s">
        <v>4</v>
      </c>
    </row>
    <row r="4983" spans="1:4" outlineLevel="1" x14ac:dyDescent="0.25">
      <c r="A4983" t="s">
        <v>597</v>
      </c>
      <c r="B4983" t="s">
        <v>27</v>
      </c>
      <c r="C4983" s="1" t="str">
        <f>HYPERLINK("http://продеталь.рф/search.html?article=PG03001A","PG03001A")</f>
        <v>PG03001A</v>
      </c>
      <c r="D4983" t="s">
        <v>2</v>
      </c>
    </row>
    <row r="4984" spans="1:4" outlineLevel="1" x14ac:dyDescent="0.25">
      <c r="A4984" t="s">
        <v>597</v>
      </c>
      <c r="B4984" t="s">
        <v>3</v>
      </c>
      <c r="C4984" s="1" t="str">
        <f>HYPERLINK("http://продеталь.рф/search.html?article=200450052","200450052")</f>
        <v>200450052</v>
      </c>
      <c r="D4984" t="s">
        <v>4</v>
      </c>
    </row>
    <row r="4985" spans="1:4" outlineLevel="1" x14ac:dyDescent="0.25">
      <c r="A4985" t="s">
        <v>597</v>
      </c>
      <c r="B4985" t="s">
        <v>3</v>
      </c>
      <c r="C4985" s="1" t="str">
        <f>HYPERLINK("http://продеталь.рф/search.html?article=200449052","200449052")</f>
        <v>200449052</v>
      </c>
      <c r="D4985" t="s">
        <v>4</v>
      </c>
    </row>
    <row r="4986" spans="1:4" outlineLevel="1" x14ac:dyDescent="0.25">
      <c r="A4986" t="s">
        <v>597</v>
      </c>
      <c r="B4986" t="s">
        <v>5</v>
      </c>
      <c r="C4986" s="1" t="str">
        <f>HYPERLINK("http://продеталь.рф/search.html?article=PPG11027AL","PPG11027AL")</f>
        <v>PPG11027AL</v>
      </c>
      <c r="D4986" t="s">
        <v>6</v>
      </c>
    </row>
    <row r="4987" spans="1:4" outlineLevel="1" x14ac:dyDescent="0.25">
      <c r="A4987" t="s">
        <v>597</v>
      </c>
      <c r="B4987" t="s">
        <v>5</v>
      </c>
      <c r="C4987" s="1" t="str">
        <f>HYPERLINK("http://продеталь.рф/search.html?article=PPG11027AR","PPG11027AR")</f>
        <v>PPG11027AR</v>
      </c>
      <c r="D4987" t="s">
        <v>6</v>
      </c>
    </row>
    <row r="4988" spans="1:4" outlineLevel="1" x14ac:dyDescent="0.25">
      <c r="A4988" t="s">
        <v>597</v>
      </c>
      <c r="B4988" t="s">
        <v>19</v>
      </c>
      <c r="C4988" s="1" t="str">
        <f>HYPERLINK("http://продеталь.рф/search.html?article=190236052","190236052")</f>
        <v>190236052</v>
      </c>
      <c r="D4988" t="s">
        <v>4</v>
      </c>
    </row>
    <row r="4989" spans="1:4" outlineLevel="1" x14ac:dyDescent="0.25">
      <c r="A4989" t="s">
        <v>597</v>
      </c>
      <c r="B4989" t="s">
        <v>19</v>
      </c>
      <c r="C4989" s="1" t="str">
        <f>HYPERLINK("http://продеталь.рф/search.html?article=190235052","190235052")</f>
        <v>190235052</v>
      </c>
      <c r="D4989" t="s">
        <v>4</v>
      </c>
    </row>
    <row r="4990" spans="1:4" outlineLevel="1" x14ac:dyDescent="0.25">
      <c r="A4990" t="s">
        <v>597</v>
      </c>
      <c r="B4990" t="s">
        <v>12</v>
      </c>
      <c r="C4990" s="1" t="str">
        <f>HYPERLINK("http://продеталь.рф/search.html?article=PPG07034GA","PPG07034GA")</f>
        <v>PPG07034GA</v>
      </c>
      <c r="D4990" t="s">
        <v>6</v>
      </c>
    </row>
    <row r="4991" spans="1:4" outlineLevel="1" x14ac:dyDescent="0.25">
      <c r="A4991" t="s">
        <v>597</v>
      </c>
      <c r="B4991" t="s">
        <v>13</v>
      </c>
      <c r="C4991" s="1" t="str">
        <f>HYPERLINK("http://продеталь.рф/search.html?article=PG47000R0","PG47000R0")</f>
        <v>PG47000R0</v>
      </c>
      <c r="D4991" t="s">
        <v>9</v>
      </c>
    </row>
    <row r="4992" spans="1:4" outlineLevel="1" x14ac:dyDescent="0.25">
      <c r="A4992" t="s">
        <v>597</v>
      </c>
      <c r="B4992" t="s">
        <v>598</v>
      </c>
      <c r="C4992" s="1" t="str">
        <f>HYPERLINK("http://продеталь.рф/search.html?article=PG05007VA","PG05007VA")</f>
        <v>PG05007VA</v>
      </c>
      <c r="D4992" t="s">
        <v>2</v>
      </c>
    </row>
    <row r="4993" spans="1:4" x14ac:dyDescent="0.25">
      <c r="A4993" t="s">
        <v>599</v>
      </c>
      <c r="B4993" s="2" t="s">
        <v>599</v>
      </c>
      <c r="C4993" s="2"/>
      <c r="D4993" s="2"/>
    </row>
    <row r="4994" spans="1:4" outlineLevel="1" x14ac:dyDescent="0.25">
      <c r="A4994" t="s">
        <v>599</v>
      </c>
      <c r="B4994" t="s">
        <v>24</v>
      </c>
      <c r="C4994" s="1" t="str">
        <f>HYPERLINK("http://продеталь.рф/search.html?article=PG48001600L00","PG48001600L00")</f>
        <v>PG48001600L00</v>
      </c>
      <c r="D4994" t="s">
        <v>9</v>
      </c>
    </row>
    <row r="4995" spans="1:4" outlineLevel="1" x14ac:dyDescent="0.25">
      <c r="A4995" t="s">
        <v>599</v>
      </c>
      <c r="B4995" t="s">
        <v>24</v>
      </c>
      <c r="C4995" s="1" t="str">
        <f>HYPERLINK("http://продеталь.рф/search.html?article=PG48001600R00","PG48001600R00")</f>
        <v>PG48001600R00</v>
      </c>
      <c r="D4995" t="s">
        <v>9</v>
      </c>
    </row>
    <row r="4996" spans="1:4" x14ac:dyDescent="0.25">
      <c r="A4996" t="s">
        <v>600</v>
      </c>
      <c r="B4996" s="2" t="s">
        <v>600</v>
      </c>
      <c r="C4996" s="2"/>
      <c r="D4996" s="2"/>
    </row>
    <row r="4997" spans="1:4" outlineLevel="1" x14ac:dyDescent="0.25">
      <c r="A4997" t="s">
        <v>600</v>
      </c>
      <c r="B4997" t="s">
        <v>160</v>
      </c>
      <c r="C4997" s="1" t="str">
        <f>HYPERLINK("http://продеталь.рф/search.html?article=5766349","5766349")</f>
        <v>5766349</v>
      </c>
      <c r="D4997" t="s">
        <v>81</v>
      </c>
    </row>
    <row r="4998" spans="1:4" outlineLevel="1" x14ac:dyDescent="0.25">
      <c r="A4998" t="s">
        <v>600</v>
      </c>
      <c r="B4998" t="s">
        <v>160</v>
      </c>
      <c r="C4998" s="1" t="str">
        <f>HYPERLINK("http://продеталь.рф/search.html?article=5766347","5766347")</f>
        <v>5766347</v>
      </c>
      <c r="D4998" t="s">
        <v>81</v>
      </c>
    </row>
    <row r="4999" spans="1:4" outlineLevel="1" x14ac:dyDescent="0.25">
      <c r="A4999" t="s">
        <v>600</v>
      </c>
      <c r="B4999" t="s">
        <v>160</v>
      </c>
      <c r="C4999" s="1" t="str">
        <f>HYPERLINK("http://продеталь.рф/search.html?article=5766348","5766348")</f>
        <v>5766348</v>
      </c>
      <c r="D4999" t="s">
        <v>81</v>
      </c>
    </row>
    <row r="5000" spans="1:4" x14ac:dyDescent="0.25">
      <c r="A5000" t="s">
        <v>601</v>
      </c>
      <c r="B5000" s="2" t="s">
        <v>601</v>
      </c>
      <c r="C5000" s="2"/>
      <c r="D5000" s="2"/>
    </row>
    <row r="5001" spans="1:4" outlineLevel="1" x14ac:dyDescent="0.25">
      <c r="A5001" t="s">
        <v>601</v>
      </c>
      <c r="B5001" t="s">
        <v>602</v>
      </c>
      <c r="C5001" s="1" t="str">
        <f>HYPERLINK("http://продеталь.рф/search.html?article=PT04027BA","PT04027BA")</f>
        <v>PT04027BA</v>
      </c>
      <c r="D5001" t="s">
        <v>2</v>
      </c>
    </row>
    <row r="5002" spans="1:4" x14ac:dyDescent="0.25">
      <c r="A5002" t="s">
        <v>603</v>
      </c>
      <c r="B5002" s="2" t="s">
        <v>603</v>
      </c>
      <c r="C5002" s="2"/>
      <c r="D5002" s="2"/>
    </row>
    <row r="5003" spans="1:4" outlineLevel="1" x14ac:dyDescent="0.25">
      <c r="A5003" t="s">
        <v>603</v>
      </c>
      <c r="B5003" t="s">
        <v>11</v>
      </c>
      <c r="C5003" s="1" t="str">
        <f>HYPERLINK("http://продеталь.рф/search.html?article=PT04026BA","PT04026BA")</f>
        <v>PT04026BA</v>
      </c>
      <c r="D5003" t="s">
        <v>2</v>
      </c>
    </row>
    <row r="5004" spans="1:4" outlineLevel="1" x14ac:dyDescent="0.25">
      <c r="A5004" t="s">
        <v>603</v>
      </c>
      <c r="B5004" t="s">
        <v>11</v>
      </c>
      <c r="C5004" s="1" t="str">
        <f>HYPERLINK("http://продеталь.рф/search.html?article=PT04025BA","PT04025BA")</f>
        <v>PT04025BA</v>
      </c>
      <c r="D5004" t="s">
        <v>2</v>
      </c>
    </row>
    <row r="5005" spans="1:4" outlineLevel="1" x14ac:dyDescent="0.25">
      <c r="A5005" t="s">
        <v>603</v>
      </c>
      <c r="B5005" t="s">
        <v>15</v>
      </c>
      <c r="C5005" s="1" t="str">
        <f>HYPERLINK("http://продеталь.рф/search.html?article=TYM1134BR","TYM1134BR")</f>
        <v>TYM1134BR</v>
      </c>
      <c r="D5005" t="s">
        <v>2</v>
      </c>
    </row>
    <row r="5006" spans="1:4" outlineLevel="1" x14ac:dyDescent="0.25">
      <c r="A5006" t="s">
        <v>603</v>
      </c>
      <c r="B5006" t="s">
        <v>15</v>
      </c>
      <c r="C5006" s="1" t="str">
        <f>HYPERLINK("http://продеталь.рф/search.html?article=TYM1134BL","TYM1134BL")</f>
        <v>TYM1134BL</v>
      </c>
      <c r="D5006" t="s">
        <v>2</v>
      </c>
    </row>
    <row r="5007" spans="1:4" outlineLevel="1" x14ac:dyDescent="0.25">
      <c r="A5007" t="s">
        <v>603</v>
      </c>
      <c r="B5007" t="s">
        <v>74</v>
      </c>
      <c r="C5007" s="1" t="str">
        <f>HYPERLINK("http://продеталь.рф/search.html?article=682TYR017","682TYR017")</f>
        <v>682TYR017</v>
      </c>
      <c r="D5007" t="s">
        <v>4</v>
      </c>
    </row>
    <row r="5008" spans="1:4" outlineLevel="1" x14ac:dyDescent="0.25">
      <c r="A5008" t="s">
        <v>603</v>
      </c>
      <c r="B5008" t="s">
        <v>23</v>
      </c>
      <c r="C5008" s="1" t="str">
        <f>HYPERLINK("http://продеталь.рф/search.html?article=116121011A","116121011A")</f>
        <v>116121011A</v>
      </c>
      <c r="D5008" t="s">
        <v>4</v>
      </c>
    </row>
    <row r="5009" spans="1:4" outlineLevel="1" x14ac:dyDescent="0.25">
      <c r="A5009" t="s">
        <v>603</v>
      </c>
      <c r="B5009" t="s">
        <v>35</v>
      </c>
      <c r="C5009" s="1" t="str">
        <f>HYPERLINK("http://продеталь.рф/search.html?article=PT65002501L00","PT65002501L00")</f>
        <v>PT65002501L00</v>
      </c>
      <c r="D5009" t="s">
        <v>9</v>
      </c>
    </row>
    <row r="5010" spans="1:4" outlineLevel="1" x14ac:dyDescent="0.25">
      <c r="A5010" t="s">
        <v>603</v>
      </c>
      <c r="B5010" t="s">
        <v>35</v>
      </c>
      <c r="C5010" s="1" t="str">
        <f>HYPERLINK("http://продеталь.рф/search.html?article=PT33001AR","PT33001AR")</f>
        <v>PT33001AR</v>
      </c>
      <c r="D5010" t="s">
        <v>2</v>
      </c>
    </row>
    <row r="5011" spans="1:4" outlineLevel="1" x14ac:dyDescent="0.25">
      <c r="A5011" t="s">
        <v>603</v>
      </c>
      <c r="B5011" t="s">
        <v>1</v>
      </c>
      <c r="C5011" s="1" t="str">
        <f>HYPERLINK("http://продеталь.рф/search.html?article=PPT20022A","PPT20022A")</f>
        <v>PPT20022A</v>
      </c>
      <c r="D5011" t="s">
        <v>6</v>
      </c>
    </row>
    <row r="5012" spans="1:4" outlineLevel="1" x14ac:dyDescent="0.25">
      <c r="A5012" t="s">
        <v>603</v>
      </c>
      <c r="B5012" t="s">
        <v>24</v>
      </c>
      <c r="C5012" s="1" t="str">
        <f>HYPERLINK("http://продеталь.рф/search.html?article=PPT10024AL","PPT10024AL")</f>
        <v>PPT10024AL</v>
      </c>
      <c r="D5012" t="s">
        <v>6</v>
      </c>
    </row>
    <row r="5013" spans="1:4" outlineLevel="1" x14ac:dyDescent="0.25">
      <c r="A5013" t="s">
        <v>603</v>
      </c>
      <c r="B5013" t="s">
        <v>3</v>
      </c>
      <c r="C5013" s="1" t="str">
        <f>HYPERLINK("http://продеталь.рф/search.html?article=206413A51A","206413A51A")</f>
        <v>206413A51A</v>
      </c>
      <c r="D5013" t="s">
        <v>4</v>
      </c>
    </row>
    <row r="5014" spans="1:4" outlineLevel="1" x14ac:dyDescent="0.25">
      <c r="A5014" t="s">
        <v>603</v>
      </c>
      <c r="B5014" t="s">
        <v>5</v>
      </c>
      <c r="C5014" s="1" t="str">
        <f>HYPERLINK("http://продеталь.рф/search.html?article=PT65016L2","PT65016L2")</f>
        <v>PT65016L2</v>
      </c>
      <c r="D5014" t="s">
        <v>9</v>
      </c>
    </row>
    <row r="5015" spans="1:4" outlineLevel="1" x14ac:dyDescent="0.25">
      <c r="A5015" t="s">
        <v>603</v>
      </c>
      <c r="B5015" t="s">
        <v>19</v>
      </c>
      <c r="C5015" s="1" t="str">
        <f>HYPERLINK("http://продеталь.рф/search.html?article=19567300","19567300")</f>
        <v>19567300</v>
      </c>
      <c r="D5015" t="s">
        <v>4</v>
      </c>
    </row>
    <row r="5016" spans="1:4" outlineLevel="1" x14ac:dyDescent="0.25">
      <c r="A5016" t="s">
        <v>603</v>
      </c>
      <c r="B5016" t="s">
        <v>40</v>
      </c>
      <c r="C5016" s="1" t="str">
        <f>HYPERLINK("http://продеталь.рф/search.html?article=PT07028GAL","PT07028GAL")</f>
        <v>PT07028GAL</v>
      </c>
      <c r="D5016" t="s">
        <v>2</v>
      </c>
    </row>
    <row r="5017" spans="1:4" outlineLevel="1" x14ac:dyDescent="0.25">
      <c r="A5017" t="s">
        <v>603</v>
      </c>
      <c r="B5017" t="s">
        <v>40</v>
      </c>
      <c r="C5017" s="1" t="str">
        <f>HYPERLINK("http://продеталь.рф/search.html?article=PT07028GAR","PT07028GAR")</f>
        <v>PT07028GAR</v>
      </c>
      <c r="D5017" t="s">
        <v>2</v>
      </c>
    </row>
    <row r="5018" spans="1:4" outlineLevel="1" x14ac:dyDescent="0.25">
      <c r="A5018" t="s">
        <v>603</v>
      </c>
      <c r="B5018" t="s">
        <v>12</v>
      </c>
      <c r="C5018" s="1" t="str">
        <f>HYPERLINK("http://продеталь.рф/search.html?article=PT07020GAL","PT07020GAL")</f>
        <v>PT07020GAL</v>
      </c>
      <c r="D5018" t="s">
        <v>2</v>
      </c>
    </row>
    <row r="5019" spans="1:4" outlineLevel="1" x14ac:dyDescent="0.25">
      <c r="A5019" t="s">
        <v>603</v>
      </c>
      <c r="B5019" t="s">
        <v>12</v>
      </c>
      <c r="C5019" s="1" t="str">
        <f>HYPERLINK("http://продеталь.рф/search.html?article=PT07020GAR","PT07020GAR")</f>
        <v>PT07020GAR</v>
      </c>
      <c r="D5019" t="s">
        <v>2</v>
      </c>
    </row>
    <row r="5020" spans="1:4" outlineLevel="1" x14ac:dyDescent="0.25">
      <c r="A5020" t="s">
        <v>603</v>
      </c>
      <c r="B5020" t="s">
        <v>12</v>
      </c>
      <c r="C5020" s="1" t="str">
        <f>HYPERLINK("http://продеталь.рф/search.html?article=PT07019GAL","PT07019GAL")</f>
        <v>PT07019GAL</v>
      </c>
      <c r="D5020" t="s">
        <v>2</v>
      </c>
    </row>
    <row r="5021" spans="1:4" outlineLevel="1" x14ac:dyDescent="0.25">
      <c r="A5021" t="s">
        <v>603</v>
      </c>
      <c r="B5021" t="s">
        <v>12</v>
      </c>
      <c r="C5021" s="1" t="str">
        <f>HYPERLINK("http://продеталь.рф/search.html?article=PT07019GAR","PT07019GAR")</f>
        <v>PT07019GAR</v>
      </c>
      <c r="D5021" t="s">
        <v>2</v>
      </c>
    </row>
    <row r="5022" spans="1:4" outlineLevel="1" x14ac:dyDescent="0.25">
      <c r="A5022" t="s">
        <v>603</v>
      </c>
      <c r="B5022" t="s">
        <v>13</v>
      </c>
      <c r="C5022" s="1" t="str">
        <f>HYPERLINK("http://продеталь.рф/search.html?article=PPT44056A","PPT44056A")</f>
        <v>PPT44056A</v>
      </c>
      <c r="D5022" t="s">
        <v>6</v>
      </c>
    </row>
    <row r="5023" spans="1:4" x14ac:dyDescent="0.25">
      <c r="A5023" t="s">
        <v>604</v>
      </c>
      <c r="B5023" s="2" t="s">
        <v>604</v>
      </c>
      <c r="C5023" s="2"/>
      <c r="D5023" s="2"/>
    </row>
    <row r="5024" spans="1:4" outlineLevel="1" x14ac:dyDescent="0.25">
      <c r="A5024" t="s">
        <v>604</v>
      </c>
      <c r="B5024" t="s">
        <v>11</v>
      </c>
      <c r="C5024" s="1" t="str">
        <f>HYPERLINK("http://продеталь.рф/search.html?article=PT04041BB","PT04041BB")</f>
        <v>PT04041BB</v>
      </c>
      <c r="D5024" t="s">
        <v>2</v>
      </c>
    </row>
    <row r="5025" spans="1:4" outlineLevel="1" x14ac:dyDescent="0.25">
      <c r="A5025" t="s">
        <v>604</v>
      </c>
      <c r="B5025" t="s">
        <v>1</v>
      </c>
      <c r="C5025" s="1" t="str">
        <f>HYPERLINK("http://продеталь.рф/search.html?article=PPT20023A","PPT20023A")</f>
        <v>PPT20023A</v>
      </c>
      <c r="D5025" t="s">
        <v>6</v>
      </c>
    </row>
    <row r="5026" spans="1:4" outlineLevel="1" x14ac:dyDescent="0.25">
      <c r="A5026" t="s">
        <v>604</v>
      </c>
      <c r="B5026" t="s">
        <v>3</v>
      </c>
      <c r="C5026" s="1" t="str">
        <f>HYPERLINK("http://продеталь.рф/search.html?article=ZPT1103L","ZPT1103L")</f>
        <v>ZPT1103L</v>
      </c>
      <c r="D5026" t="s">
        <v>6</v>
      </c>
    </row>
    <row r="5027" spans="1:4" outlineLevel="1" x14ac:dyDescent="0.25">
      <c r="A5027" t="s">
        <v>604</v>
      </c>
      <c r="B5027" t="s">
        <v>3</v>
      </c>
      <c r="C5027" s="1" t="str">
        <f>HYPERLINK("http://продеталь.рф/search.html?article=PTH1013AARS","PTH1013AARS")</f>
        <v>PTH1013AARS</v>
      </c>
      <c r="D5027" t="s">
        <v>2</v>
      </c>
    </row>
    <row r="5028" spans="1:4" x14ac:dyDescent="0.25">
      <c r="A5028" t="s">
        <v>605</v>
      </c>
      <c r="B5028" s="2" t="s">
        <v>605</v>
      </c>
      <c r="C5028" s="2"/>
      <c r="D5028" s="2"/>
    </row>
    <row r="5029" spans="1:4" outlineLevel="1" x14ac:dyDescent="0.25">
      <c r="A5029" t="s">
        <v>605</v>
      </c>
      <c r="B5029" t="s">
        <v>606</v>
      </c>
      <c r="C5029" s="1" t="str">
        <f>HYPERLINK("http://продеталь.рф/search.html?article=6036591","6036591")</f>
        <v>6036591</v>
      </c>
      <c r="D5029" t="s">
        <v>46</v>
      </c>
    </row>
    <row r="5030" spans="1:4" outlineLevel="1" x14ac:dyDescent="0.25">
      <c r="A5030" t="s">
        <v>605</v>
      </c>
      <c r="B5030" t="s">
        <v>11</v>
      </c>
      <c r="C5030" s="1" t="str">
        <f>HYPERLINK("http://продеталь.рф/search.html?article=R1932A","R1932A")</f>
        <v>R1932A</v>
      </c>
      <c r="D5030" t="s">
        <v>18</v>
      </c>
    </row>
    <row r="5031" spans="1:4" outlineLevel="1" x14ac:dyDescent="0.25">
      <c r="A5031" t="s">
        <v>605</v>
      </c>
      <c r="B5031" t="s">
        <v>1</v>
      </c>
      <c r="C5031" s="1" t="str">
        <f>HYPERLINK("http://продеталь.рф/search.html?article=RN19015A0","RN19015A0")</f>
        <v>RN19015A0</v>
      </c>
      <c r="D5031" t="s">
        <v>9</v>
      </c>
    </row>
    <row r="5032" spans="1:4" outlineLevel="1" x14ac:dyDescent="0.25">
      <c r="A5032" t="s">
        <v>605</v>
      </c>
      <c r="B5032" t="s">
        <v>54</v>
      </c>
      <c r="C5032" s="1" t="str">
        <f>HYPERLINK("http://продеталь.рф/search.html?article=6036012","6036012")</f>
        <v>6036012</v>
      </c>
      <c r="D5032" t="s">
        <v>46</v>
      </c>
    </row>
    <row r="5033" spans="1:4" outlineLevel="1" x14ac:dyDescent="0.25">
      <c r="A5033" t="s">
        <v>605</v>
      </c>
      <c r="B5033" t="s">
        <v>12</v>
      </c>
      <c r="C5033" s="1" t="str">
        <f>HYPERLINK("http://продеталь.рф/search.html?article=RN07018GA","RN07018GA")</f>
        <v>RN07018GA</v>
      </c>
      <c r="D5033" t="s">
        <v>2</v>
      </c>
    </row>
    <row r="5034" spans="1:4" outlineLevel="1" x14ac:dyDescent="0.25">
      <c r="A5034" t="s">
        <v>605</v>
      </c>
      <c r="B5034" t="s">
        <v>16</v>
      </c>
      <c r="C5034" s="1" t="str">
        <f>HYPERLINK("http://продеталь.рф/search.html?article=181917052","181917052")</f>
        <v>181917052</v>
      </c>
      <c r="D5034" t="s">
        <v>4</v>
      </c>
    </row>
    <row r="5035" spans="1:4" outlineLevel="1" x14ac:dyDescent="0.25">
      <c r="A5035" t="s">
        <v>605</v>
      </c>
      <c r="B5035" t="s">
        <v>16</v>
      </c>
      <c r="C5035" s="1" t="str">
        <f>HYPERLINK("http://продеталь.рф/search.html?article=181916052","181916052")</f>
        <v>181916052</v>
      </c>
      <c r="D5035" t="s">
        <v>4</v>
      </c>
    </row>
    <row r="5036" spans="1:4" outlineLevel="1" x14ac:dyDescent="0.25">
      <c r="A5036" t="s">
        <v>605</v>
      </c>
      <c r="B5036" t="s">
        <v>16</v>
      </c>
      <c r="C5036" s="1" t="str">
        <f>HYPERLINK("http://продеталь.рф/search.html?article=183238052","183238052")</f>
        <v>183238052</v>
      </c>
      <c r="D5036" t="s">
        <v>4</v>
      </c>
    </row>
    <row r="5037" spans="1:4" outlineLevel="1" x14ac:dyDescent="0.25">
      <c r="A5037" t="s">
        <v>605</v>
      </c>
      <c r="B5037" t="s">
        <v>16</v>
      </c>
      <c r="C5037" s="1" t="str">
        <f>HYPERLINK("http://продеталь.рф/search.html?article=183237052","183237052")</f>
        <v>183237052</v>
      </c>
      <c r="D5037" t="s">
        <v>4</v>
      </c>
    </row>
    <row r="5038" spans="1:4" x14ac:dyDescent="0.25">
      <c r="A5038" t="s">
        <v>607</v>
      </c>
      <c r="B5038" s="2" t="s">
        <v>607</v>
      </c>
      <c r="C5038" s="2"/>
      <c r="D5038" s="2"/>
    </row>
    <row r="5039" spans="1:4" outlineLevel="1" x14ac:dyDescent="0.25">
      <c r="A5039" t="s">
        <v>607</v>
      </c>
      <c r="B5039" t="s">
        <v>3</v>
      </c>
      <c r="C5039" s="1" t="str">
        <f>HYPERLINK("http://продеталь.рф/search.html?article=203228052","203228052")</f>
        <v>203228052</v>
      </c>
      <c r="D5039" t="s">
        <v>4</v>
      </c>
    </row>
    <row r="5040" spans="1:4" outlineLevel="1" x14ac:dyDescent="0.25">
      <c r="A5040" t="s">
        <v>607</v>
      </c>
      <c r="B5040" t="s">
        <v>16</v>
      </c>
      <c r="C5040" s="1" t="str">
        <f>HYPERLINK("http://продеталь.рф/search.html?article=183338052","183338052")</f>
        <v>183338052</v>
      </c>
      <c r="D5040" t="s">
        <v>4</v>
      </c>
    </row>
    <row r="5041" spans="1:4" outlineLevel="1" x14ac:dyDescent="0.25">
      <c r="A5041" t="s">
        <v>607</v>
      </c>
      <c r="B5041" t="s">
        <v>16</v>
      </c>
      <c r="C5041" s="1" t="str">
        <f>HYPERLINK("http://продеталь.рф/search.html?article=183337052","183337052")</f>
        <v>183337052</v>
      </c>
      <c r="D5041" t="s">
        <v>4</v>
      </c>
    </row>
    <row r="5042" spans="1:4" outlineLevel="1" x14ac:dyDescent="0.25">
      <c r="A5042" t="s">
        <v>607</v>
      </c>
      <c r="B5042" t="s">
        <v>16</v>
      </c>
      <c r="C5042" s="1" t="str">
        <f>HYPERLINK("http://продеталь.рф/search.html?article=183240052","183240052")</f>
        <v>183240052</v>
      </c>
      <c r="D5042" t="s">
        <v>4</v>
      </c>
    </row>
    <row r="5043" spans="1:4" outlineLevel="1" x14ac:dyDescent="0.25">
      <c r="A5043" t="s">
        <v>607</v>
      </c>
      <c r="B5043" t="s">
        <v>16</v>
      </c>
      <c r="C5043" s="1" t="str">
        <f>HYPERLINK("http://продеталь.рф/search.html?article=183239052","183239052")</f>
        <v>183239052</v>
      </c>
      <c r="D5043" t="s">
        <v>4</v>
      </c>
    </row>
    <row r="5044" spans="1:4" x14ac:dyDescent="0.25">
      <c r="A5044" t="s">
        <v>608</v>
      </c>
      <c r="B5044" s="2" t="s">
        <v>608</v>
      </c>
      <c r="C5044" s="2"/>
      <c r="D5044" s="2"/>
    </row>
    <row r="5045" spans="1:4" outlineLevel="1" x14ac:dyDescent="0.25">
      <c r="A5045" t="s">
        <v>608</v>
      </c>
      <c r="B5045" t="s">
        <v>50</v>
      </c>
      <c r="C5045" s="1" t="str">
        <f>HYPERLINK("http://продеталь.рф/search.html?article=MR4074","MR4074")</f>
        <v>MR4074</v>
      </c>
      <c r="D5045" t="s">
        <v>2</v>
      </c>
    </row>
    <row r="5046" spans="1:4" outlineLevel="1" x14ac:dyDescent="0.25">
      <c r="A5046" t="s">
        <v>608</v>
      </c>
      <c r="B5046" t="s">
        <v>609</v>
      </c>
      <c r="C5046" s="1" t="str">
        <f>HYPERLINK("http://продеталь.рф/search.html?article=203746082","203746082")</f>
        <v>203746082</v>
      </c>
      <c r="D5046" t="s">
        <v>4</v>
      </c>
    </row>
    <row r="5047" spans="1:4" outlineLevel="1" x14ac:dyDescent="0.25">
      <c r="A5047" t="s">
        <v>608</v>
      </c>
      <c r="B5047" t="s">
        <v>28</v>
      </c>
      <c r="C5047" s="1" t="str">
        <f>HYPERLINK("http://продеталь.рф/search.html?article=RA63928","RA63928")</f>
        <v>RA63928</v>
      </c>
      <c r="D5047" t="s">
        <v>6</v>
      </c>
    </row>
    <row r="5048" spans="1:4" outlineLevel="1" x14ac:dyDescent="0.25">
      <c r="A5048" t="s">
        <v>608</v>
      </c>
      <c r="B5048" t="s">
        <v>28</v>
      </c>
      <c r="C5048" s="1" t="str">
        <f>HYPERLINK("http://продеталь.рф/search.html?article=7280030","7280030")</f>
        <v>7280030</v>
      </c>
      <c r="D5048" t="s">
        <v>4</v>
      </c>
    </row>
    <row r="5049" spans="1:4" outlineLevel="1" x14ac:dyDescent="0.25">
      <c r="A5049" t="s">
        <v>608</v>
      </c>
      <c r="B5049" t="s">
        <v>28</v>
      </c>
      <c r="C5049" s="1" t="str">
        <f>HYPERLINK("http://продеталь.рф/search.html?article=RA63946","RA63946")</f>
        <v>RA63946</v>
      </c>
      <c r="D5049" t="s">
        <v>6</v>
      </c>
    </row>
    <row r="5050" spans="1:4" outlineLevel="1" x14ac:dyDescent="0.25">
      <c r="A5050" t="s">
        <v>608</v>
      </c>
      <c r="B5050" t="s">
        <v>16</v>
      </c>
      <c r="C5050" s="1" t="str">
        <f>HYPERLINK("http://продеталь.рф/search.html?article=185022052","185022052")</f>
        <v>185022052</v>
      </c>
      <c r="D5050" t="s">
        <v>4</v>
      </c>
    </row>
    <row r="5051" spans="1:4" outlineLevel="1" x14ac:dyDescent="0.25">
      <c r="A5051" t="s">
        <v>608</v>
      </c>
      <c r="B5051" t="s">
        <v>16</v>
      </c>
      <c r="C5051" s="1" t="str">
        <f>HYPERLINK("http://продеталь.рф/search.html?article=185021052","185021052")</f>
        <v>185021052</v>
      </c>
      <c r="D5051" t="s">
        <v>4</v>
      </c>
    </row>
    <row r="5052" spans="1:4" outlineLevel="1" x14ac:dyDescent="0.25">
      <c r="A5052" t="s">
        <v>608</v>
      </c>
      <c r="B5052" t="s">
        <v>75</v>
      </c>
      <c r="C5052" s="1" t="str">
        <f>HYPERLINK("http://продеталь.рф/search.html?article=185269012","185269012")</f>
        <v>185269012</v>
      </c>
      <c r="D5052" t="s">
        <v>4</v>
      </c>
    </row>
    <row r="5053" spans="1:4" x14ac:dyDescent="0.25">
      <c r="A5053" t="s">
        <v>610</v>
      </c>
      <c r="B5053" s="2" t="s">
        <v>610</v>
      </c>
      <c r="C5053" s="2"/>
      <c r="D5053" s="2"/>
    </row>
    <row r="5054" spans="1:4" outlineLevel="1" x14ac:dyDescent="0.25">
      <c r="A5054" t="s">
        <v>610</v>
      </c>
      <c r="B5054" t="s">
        <v>11</v>
      </c>
      <c r="C5054" s="1" t="str">
        <f>HYPERLINK("http://продеталь.рф/search.html?article=PRN04077BA","PRN04077BA")</f>
        <v>PRN04077BA</v>
      </c>
      <c r="D5054" t="s">
        <v>6</v>
      </c>
    </row>
    <row r="5055" spans="1:4" outlineLevel="1" x14ac:dyDescent="0.25">
      <c r="A5055" t="s">
        <v>610</v>
      </c>
      <c r="B5055" t="s">
        <v>15</v>
      </c>
      <c r="C5055" s="1" t="str">
        <f>HYPERLINK("http://продеталь.рф/search.html?article=3280104","3280104")</f>
        <v>3280104</v>
      </c>
      <c r="D5055" t="s">
        <v>4</v>
      </c>
    </row>
    <row r="5056" spans="1:4" outlineLevel="1" x14ac:dyDescent="0.25">
      <c r="A5056" t="s">
        <v>610</v>
      </c>
      <c r="B5056" t="s">
        <v>15</v>
      </c>
      <c r="C5056" s="1" t="str">
        <f>HYPERLINK("http://продеталь.рф/search.html?article=3280103","3280103")</f>
        <v>3280103</v>
      </c>
      <c r="D5056" t="s">
        <v>4</v>
      </c>
    </row>
    <row r="5057" spans="1:4" outlineLevel="1" x14ac:dyDescent="0.25">
      <c r="A5057" t="s">
        <v>610</v>
      </c>
      <c r="B5057" t="s">
        <v>15</v>
      </c>
      <c r="C5057" s="1" t="str">
        <f>HYPERLINK("http://продеталь.рф/search.html?article=VRNM1022ER","VRNM1022ER")</f>
        <v>VRNM1022ER</v>
      </c>
      <c r="D5057" t="s">
        <v>6</v>
      </c>
    </row>
    <row r="5058" spans="1:4" outlineLevel="1" x14ac:dyDescent="0.25">
      <c r="A5058" t="s">
        <v>610</v>
      </c>
      <c r="B5058" t="s">
        <v>1</v>
      </c>
      <c r="C5058" s="1" t="str">
        <f>HYPERLINK("http://продеталь.рф/search.html?article=RN08015L0","RN08015L0")</f>
        <v>RN08015L0</v>
      </c>
      <c r="D5058" t="s">
        <v>9</v>
      </c>
    </row>
    <row r="5059" spans="1:4" outlineLevel="1" x14ac:dyDescent="0.25">
      <c r="A5059" t="s">
        <v>610</v>
      </c>
      <c r="B5059" t="s">
        <v>240</v>
      </c>
      <c r="C5059" s="1" t="str">
        <f>HYPERLINK("http://продеталь.рф/search.html?article=VRNM1022DL","VRNM1022DL")</f>
        <v>VRNM1022DL</v>
      </c>
      <c r="D5059" t="s">
        <v>6</v>
      </c>
    </row>
    <row r="5060" spans="1:4" outlineLevel="1" x14ac:dyDescent="0.25">
      <c r="A5060" t="s">
        <v>610</v>
      </c>
      <c r="B5060" t="s">
        <v>240</v>
      </c>
      <c r="C5060" s="1" t="str">
        <f>HYPERLINK("http://продеталь.рф/search.html?article=VRNM1022DR","VRNM1022DR")</f>
        <v>VRNM1022DR</v>
      </c>
      <c r="D5060" t="s">
        <v>6</v>
      </c>
    </row>
    <row r="5061" spans="1:4" outlineLevel="1" x14ac:dyDescent="0.25">
      <c r="A5061" t="s">
        <v>610</v>
      </c>
      <c r="B5061" t="s">
        <v>66</v>
      </c>
      <c r="C5061" s="1" t="str">
        <f>HYPERLINK("http://продеталь.рф/search.html?article=BK085","BK085")</f>
        <v>BK085</v>
      </c>
      <c r="D5061" t="s">
        <v>6</v>
      </c>
    </row>
    <row r="5062" spans="1:4" outlineLevel="1" x14ac:dyDescent="0.25">
      <c r="A5062" t="s">
        <v>610</v>
      </c>
      <c r="B5062" t="s">
        <v>26</v>
      </c>
      <c r="C5062" s="1" t="str">
        <f>HYPERLINK("http://продеталь.рф/search.html?article=RN04046MALN","RN04046MALN")</f>
        <v>RN04046MALN</v>
      </c>
      <c r="D5062" t="s">
        <v>2</v>
      </c>
    </row>
    <row r="5063" spans="1:4" outlineLevel="1" x14ac:dyDescent="0.25">
      <c r="A5063" t="s">
        <v>610</v>
      </c>
      <c r="B5063" t="s">
        <v>26</v>
      </c>
      <c r="C5063" s="1" t="str">
        <f>HYPERLINK("http://продеталь.рф/search.html?article=RN080000MA000","RN080000MA000")</f>
        <v>RN080000MA000</v>
      </c>
      <c r="D5063" t="s">
        <v>9</v>
      </c>
    </row>
    <row r="5064" spans="1:4" outlineLevel="1" x14ac:dyDescent="0.25">
      <c r="A5064" t="s">
        <v>610</v>
      </c>
      <c r="B5064" t="s">
        <v>3</v>
      </c>
      <c r="C5064" s="1" t="str">
        <f>HYPERLINK("http://продеталь.рф/search.html?article=200794052","200794052")</f>
        <v>200794052</v>
      </c>
      <c r="D5064" t="s">
        <v>4</v>
      </c>
    </row>
    <row r="5065" spans="1:4" outlineLevel="1" x14ac:dyDescent="0.25">
      <c r="A5065" t="s">
        <v>610</v>
      </c>
      <c r="B5065" t="s">
        <v>5</v>
      </c>
      <c r="C5065" s="1" t="str">
        <f>HYPERLINK("http://продеталь.рф/search.html?article=RN08016LM2","RN08016LM2")</f>
        <v>RN08016LM2</v>
      </c>
      <c r="D5065" t="s">
        <v>9</v>
      </c>
    </row>
    <row r="5066" spans="1:4" outlineLevel="1" x14ac:dyDescent="0.25">
      <c r="A5066" t="s">
        <v>610</v>
      </c>
      <c r="B5066" t="s">
        <v>5</v>
      </c>
      <c r="C5066" s="1" t="str">
        <f>HYPERLINK("http://продеталь.рф/search.html?article=RN08016LM1","RN08016LM1")</f>
        <v>RN08016LM1</v>
      </c>
      <c r="D5066" t="s">
        <v>9</v>
      </c>
    </row>
    <row r="5067" spans="1:4" outlineLevel="1" x14ac:dyDescent="0.25">
      <c r="A5067" t="s">
        <v>610</v>
      </c>
      <c r="B5067" t="s">
        <v>30</v>
      </c>
      <c r="C5067" s="1" t="str">
        <f>HYPERLINK("http://продеталь.рф/search.html?article=1438718","1438718")</f>
        <v>1438718</v>
      </c>
      <c r="D5067" t="s">
        <v>58</v>
      </c>
    </row>
    <row r="5068" spans="1:4" outlineLevel="1" x14ac:dyDescent="0.25">
      <c r="A5068" t="s">
        <v>610</v>
      </c>
      <c r="B5068" t="s">
        <v>12</v>
      </c>
      <c r="C5068" s="1" t="str">
        <f>HYPERLINK("http://продеталь.рф/search.html?article=RN07050GAN","RN07050GAN")</f>
        <v>RN07050GAN</v>
      </c>
      <c r="D5068" t="s">
        <v>2</v>
      </c>
    </row>
    <row r="5069" spans="1:4" x14ac:dyDescent="0.25">
      <c r="A5069" t="s">
        <v>611</v>
      </c>
      <c r="B5069" s="2" t="s">
        <v>611</v>
      </c>
      <c r="C5069" s="2"/>
      <c r="D5069" s="2"/>
    </row>
    <row r="5070" spans="1:4" outlineLevel="1" x14ac:dyDescent="0.25">
      <c r="A5070" t="s">
        <v>611</v>
      </c>
      <c r="B5070" t="s">
        <v>11</v>
      </c>
      <c r="C5070" s="1" t="str">
        <f>HYPERLINK("http://продеталь.рф/search.html?article=023620","023620")</f>
        <v>023620</v>
      </c>
      <c r="D5070" t="s">
        <v>163</v>
      </c>
    </row>
    <row r="5071" spans="1:4" outlineLevel="1" x14ac:dyDescent="0.25">
      <c r="A5071" t="s">
        <v>611</v>
      </c>
      <c r="B5071" t="s">
        <v>11</v>
      </c>
      <c r="C5071" s="1" t="str">
        <f>HYPERLINK("http://продеталь.рф/search.html?article=RN07000A0","RN07000A0")</f>
        <v>RN07000A0</v>
      </c>
      <c r="D5071" t="s">
        <v>9</v>
      </c>
    </row>
    <row r="5072" spans="1:4" outlineLevel="1" x14ac:dyDescent="0.25">
      <c r="A5072" t="s">
        <v>611</v>
      </c>
      <c r="B5072" t="s">
        <v>23</v>
      </c>
      <c r="C5072" s="1" t="str">
        <f>HYPERLINK("http://продеталь.рф/search.html?article=110222012","110222012")</f>
        <v>110222012</v>
      </c>
      <c r="D5072" t="s">
        <v>4</v>
      </c>
    </row>
    <row r="5073" spans="1:4" outlineLevel="1" x14ac:dyDescent="0.25">
      <c r="A5073" t="s">
        <v>611</v>
      </c>
      <c r="B5073" t="s">
        <v>1</v>
      </c>
      <c r="C5073" s="1" t="str">
        <f>HYPERLINK("http://продеталь.рф/search.html?article=RN20011A","RN20011A")</f>
        <v>RN20011A</v>
      </c>
      <c r="D5073" t="s">
        <v>99</v>
      </c>
    </row>
    <row r="5074" spans="1:4" outlineLevel="1" x14ac:dyDescent="0.25">
      <c r="A5074" t="s">
        <v>611</v>
      </c>
      <c r="B5074" t="s">
        <v>24</v>
      </c>
      <c r="C5074" s="1" t="str">
        <f>HYPERLINK("http://продеталь.рф/search.html?article=RCL25","RCL25")</f>
        <v>RCL25</v>
      </c>
      <c r="D5074" t="s">
        <v>18</v>
      </c>
    </row>
    <row r="5075" spans="1:4" outlineLevel="1" x14ac:dyDescent="0.25">
      <c r="A5075" t="s">
        <v>611</v>
      </c>
      <c r="B5075" t="s">
        <v>103</v>
      </c>
      <c r="C5075" s="1" t="str">
        <f>HYPERLINK("http://продеталь.рф/search.html?article=53621","53621")</f>
        <v>53621</v>
      </c>
      <c r="D5075" t="s">
        <v>163</v>
      </c>
    </row>
    <row r="5076" spans="1:4" outlineLevel="1" x14ac:dyDescent="0.25">
      <c r="A5076" t="s">
        <v>611</v>
      </c>
      <c r="B5076" t="s">
        <v>103</v>
      </c>
      <c r="C5076" s="1" t="str">
        <f>HYPERLINK("http://продеталь.рф/search.html?article=53620","53620")</f>
        <v>53620</v>
      </c>
      <c r="D5076" t="s">
        <v>163</v>
      </c>
    </row>
    <row r="5077" spans="1:4" outlineLevel="1" x14ac:dyDescent="0.25">
      <c r="A5077" t="s">
        <v>611</v>
      </c>
      <c r="B5077" t="s">
        <v>51</v>
      </c>
      <c r="C5077" s="1" t="str">
        <f>HYPERLINK("http://продеталь.рф/search.html?article=PRN34000E","PRN34000E")</f>
        <v>PRN34000E</v>
      </c>
      <c r="D5077" t="s">
        <v>6</v>
      </c>
    </row>
    <row r="5078" spans="1:4" outlineLevel="1" x14ac:dyDescent="0.25">
      <c r="A5078" t="s">
        <v>611</v>
      </c>
      <c r="B5078" t="s">
        <v>3</v>
      </c>
      <c r="C5078" s="1" t="str">
        <f>HYPERLINK("http://продеталь.рф/search.html?article=205492082","205492082")</f>
        <v>205492082</v>
      </c>
      <c r="D5078" t="s">
        <v>4</v>
      </c>
    </row>
    <row r="5079" spans="1:4" outlineLevel="1" x14ac:dyDescent="0.25">
      <c r="A5079" t="s">
        <v>611</v>
      </c>
      <c r="B5079" t="s">
        <v>3</v>
      </c>
      <c r="C5079" s="1" t="str">
        <f>HYPERLINK("http://продеталь.рф/search.html?article=206194052","206194052")</f>
        <v>206194052</v>
      </c>
      <c r="D5079" t="s">
        <v>4</v>
      </c>
    </row>
    <row r="5080" spans="1:4" outlineLevel="1" x14ac:dyDescent="0.25">
      <c r="A5080" t="s">
        <v>611</v>
      </c>
      <c r="B5080" t="s">
        <v>5</v>
      </c>
      <c r="C5080" s="1" t="str">
        <f>HYPERLINK("http://продеталь.рф/search.html?article=RN07016L1","RN07016L1")</f>
        <v>RN07016L1</v>
      </c>
      <c r="D5080" t="s">
        <v>9</v>
      </c>
    </row>
    <row r="5081" spans="1:4" outlineLevel="1" x14ac:dyDescent="0.25">
      <c r="A5081" t="s">
        <v>611</v>
      </c>
      <c r="B5081" t="s">
        <v>5</v>
      </c>
      <c r="C5081" s="1" t="str">
        <f>HYPERLINK("http://продеталь.рф/search.html?article=211619B","211619B")</f>
        <v>211619B</v>
      </c>
      <c r="D5081" t="s">
        <v>21</v>
      </c>
    </row>
    <row r="5082" spans="1:4" outlineLevel="1" x14ac:dyDescent="0.25">
      <c r="A5082" t="s">
        <v>611</v>
      </c>
      <c r="B5082" t="s">
        <v>5</v>
      </c>
      <c r="C5082" s="1" t="str">
        <f>HYPERLINK("http://продеталь.рф/search.html?article=211620B","211620B")</f>
        <v>211620B</v>
      </c>
      <c r="D5082" t="s">
        <v>21</v>
      </c>
    </row>
    <row r="5083" spans="1:4" outlineLevel="1" x14ac:dyDescent="0.25">
      <c r="A5083" t="s">
        <v>611</v>
      </c>
      <c r="B5083" t="s">
        <v>19</v>
      </c>
      <c r="C5083" s="1" t="str">
        <f>HYPERLINK("http://продеталь.рф/search.html?article=195319052","195319052")</f>
        <v>195319052</v>
      </c>
      <c r="D5083" t="s">
        <v>4</v>
      </c>
    </row>
    <row r="5084" spans="1:4" outlineLevel="1" x14ac:dyDescent="0.25">
      <c r="A5084" t="s">
        <v>611</v>
      </c>
      <c r="B5084" t="s">
        <v>28</v>
      </c>
      <c r="C5084" s="1" t="str">
        <f>HYPERLINK("http://продеталь.рф/search.html?article=7280008","7280008")</f>
        <v>7280008</v>
      </c>
      <c r="D5084" t="s">
        <v>4</v>
      </c>
    </row>
    <row r="5085" spans="1:4" outlineLevel="1" x14ac:dyDescent="0.25">
      <c r="A5085" t="s">
        <v>611</v>
      </c>
      <c r="B5085" t="s">
        <v>28</v>
      </c>
      <c r="C5085" s="1" t="str">
        <f>HYPERLINK("http://продеталь.рф/search.html?article=583809","583809")</f>
        <v>583809</v>
      </c>
      <c r="D5085" t="s">
        <v>135</v>
      </c>
    </row>
    <row r="5086" spans="1:4" outlineLevel="1" x14ac:dyDescent="0.25">
      <c r="A5086" t="s">
        <v>611</v>
      </c>
      <c r="B5086" t="s">
        <v>30</v>
      </c>
      <c r="C5086" s="1" t="str">
        <f>HYPERLINK("http://продеталь.рф/search.html?article=863I","863I")</f>
        <v>863I</v>
      </c>
      <c r="D5086" t="s">
        <v>612</v>
      </c>
    </row>
    <row r="5087" spans="1:4" outlineLevel="1" x14ac:dyDescent="0.25">
      <c r="A5087" t="s">
        <v>611</v>
      </c>
      <c r="B5087" t="s">
        <v>12</v>
      </c>
      <c r="C5087" s="1" t="str">
        <f>HYPERLINK("http://продеталь.рф/search.html?article=122501","122501")</f>
        <v>122501</v>
      </c>
      <c r="D5087" t="s">
        <v>61</v>
      </c>
    </row>
    <row r="5088" spans="1:4" x14ac:dyDescent="0.25">
      <c r="A5088" t="s">
        <v>613</v>
      </c>
      <c r="B5088" s="2" t="s">
        <v>613</v>
      </c>
      <c r="C5088" s="2"/>
      <c r="D5088" s="2"/>
    </row>
    <row r="5089" spans="1:4" outlineLevel="1" x14ac:dyDescent="0.25">
      <c r="A5089" t="s">
        <v>613</v>
      </c>
      <c r="B5089" t="s">
        <v>11</v>
      </c>
      <c r="C5089" s="1" t="str">
        <f>HYPERLINK("http://продеталь.рф/search.html?article=RN04038BB","RN04038BB")</f>
        <v>RN04038BB</v>
      </c>
      <c r="D5089" t="s">
        <v>99</v>
      </c>
    </row>
    <row r="5090" spans="1:4" outlineLevel="1" x14ac:dyDescent="0.25">
      <c r="A5090" t="s">
        <v>613</v>
      </c>
      <c r="B5090" t="s">
        <v>11</v>
      </c>
      <c r="C5090" s="1" t="str">
        <f>HYPERLINK("http://продеталь.рф/search.html?article=23626","23626")</f>
        <v>23626</v>
      </c>
      <c r="D5090" t="s">
        <v>163</v>
      </c>
    </row>
    <row r="5091" spans="1:4" outlineLevel="1" x14ac:dyDescent="0.25">
      <c r="A5091" t="s">
        <v>613</v>
      </c>
      <c r="B5091" t="s">
        <v>15</v>
      </c>
      <c r="C5091" s="1" t="str">
        <f>HYPERLINK("http://продеталь.рф/search.html?article=3280014","3280014")</f>
        <v>3280014</v>
      </c>
      <c r="D5091" t="s">
        <v>4</v>
      </c>
    </row>
    <row r="5092" spans="1:4" outlineLevel="1" x14ac:dyDescent="0.25">
      <c r="A5092" t="s">
        <v>613</v>
      </c>
      <c r="B5092" t="s">
        <v>23</v>
      </c>
      <c r="C5092" s="1" t="str">
        <f>HYPERLINK("http://продеталь.рф/search.html?article=110001016","110001016")</f>
        <v>110001016</v>
      </c>
      <c r="D5092" t="s">
        <v>4</v>
      </c>
    </row>
    <row r="5093" spans="1:4" outlineLevel="1" x14ac:dyDescent="0.25">
      <c r="A5093" t="s">
        <v>613</v>
      </c>
      <c r="B5093" t="s">
        <v>614</v>
      </c>
      <c r="C5093" s="1" t="str">
        <f>HYPERLINK("http://продеталь.рф/search.html?article=RN080250E02W0","RN080250E02W0")</f>
        <v>RN080250E02W0</v>
      </c>
      <c r="D5093" t="s">
        <v>9</v>
      </c>
    </row>
    <row r="5094" spans="1:4" outlineLevel="1" x14ac:dyDescent="0.25">
      <c r="A5094" t="s">
        <v>613</v>
      </c>
      <c r="B5094" t="s">
        <v>24</v>
      </c>
      <c r="C5094" s="1" t="str">
        <f>HYPERLINK("http://продеталь.рф/search.html?article=RNCLI01271PR","RNCLI01271PR")</f>
        <v>RNCLI01271PR</v>
      </c>
      <c r="D5094" t="s">
        <v>34</v>
      </c>
    </row>
    <row r="5095" spans="1:4" outlineLevel="1" x14ac:dyDescent="0.25">
      <c r="A5095" t="s">
        <v>613</v>
      </c>
      <c r="B5095" t="s">
        <v>24</v>
      </c>
      <c r="C5095" s="1" t="str">
        <f>HYPERLINK("http://продеталь.рф/search.html?article=RNCLI01271PL","RNCLI01271PL")</f>
        <v>RNCLI01271PL</v>
      </c>
      <c r="D5095" t="s">
        <v>34</v>
      </c>
    </row>
    <row r="5096" spans="1:4" outlineLevel="1" x14ac:dyDescent="0.25">
      <c r="A5096" t="s">
        <v>613</v>
      </c>
      <c r="B5096" t="s">
        <v>103</v>
      </c>
      <c r="C5096" s="1" t="str">
        <f>HYPERLINK("http://продеталь.рф/search.html?article=53626","53626")</f>
        <v>53626</v>
      </c>
      <c r="D5096" t="s">
        <v>163</v>
      </c>
    </row>
    <row r="5097" spans="1:4" outlineLevel="1" x14ac:dyDescent="0.25">
      <c r="A5097" t="s">
        <v>613</v>
      </c>
      <c r="B5097" t="s">
        <v>103</v>
      </c>
      <c r="C5097" s="1" t="str">
        <f>HYPERLINK("http://продеталь.рф/search.html?article=53625","53625")</f>
        <v>53625</v>
      </c>
      <c r="D5097" t="s">
        <v>163</v>
      </c>
    </row>
    <row r="5098" spans="1:4" outlineLevel="1" x14ac:dyDescent="0.25">
      <c r="A5098" t="s">
        <v>613</v>
      </c>
      <c r="B5098" t="s">
        <v>26</v>
      </c>
      <c r="C5098" s="1" t="str">
        <f>HYPERLINK("http://продеталь.рф/search.html?article=33625","33625")</f>
        <v>33625</v>
      </c>
      <c r="D5098" t="s">
        <v>163</v>
      </c>
    </row>
    <row r="5099" spans="1:4" outlineLevel="1" x14ac:dyDescent="0.25">
      <c r="A5099" t="s">
        <v>613</v>
      </c>
      <c r="B5099" t="s">
        <v>26</v>
      </c>
      <c r="C5099" s="1" t="str">
        <f>HYPERLINK("http://продеталь.рф/search.html?article=RN04038MAL","RN04038MAL")</f>
        <v>RN04038MAL</v>
      </c>
      <c r="D5099" t="s">
        <v>2</v>
      </c>
    </row>
    <row r="5100" spans="1:4" outlineLevel="1" x14ac:dyDescent="0.25">
      <c r="A5100" t="s">
        <v>613</v>
      </c>
      <c r="B5100" t="s">
        <v>26</v>
      </c>
      <c r="C5100" s="1" t="str">
        <f>HYPERLINK("http://продеталь.рф/search.html?article=RN04038MAR","RN04038MAR")</f>
        <v>RN04038MAR</v>
      </c>
      <c r="D5100" t="s">
        <v>2</v>
      </c>
    </row>
    <row r="5101" spans="1:4" outlineLevel="1" x14ac:dyDescent="0.25">
      <c r="A5101" t="s">
        <v>613</v>
      </c>
      <c r="B5101" t="s">
        <v>27</v>
      </c>
      <c r="C5101" s="1" t="str">
        <f>HYPERLINK("http://продеталь.рф/search.html?article=RN080090","RN080090")</f>
        <v>RN080090</v>
      </c>
      <c r="D5101" t="s">
        <v>9</v>
      </c>
    </row>
    <row r="5102" spans="1:4" outlineLevel="1" x14ac:dyDescent="0.25">
      <c r="A5102" t="s">
        <v>613</v>
      </c>
      <c r="B5102" t="s">
        <v>27</v>
      </c>
      <c r="C5102" s="1" t="str">
        <f>HYPERLINK("http://продеталь.рф/search.html?article=RN08009U0","RN08009U0")</f>
        <v>RN08009U0</v>
      </c>
      <c r="D5102" t="s">
        <v>9</v>
      </c>
    </row>
    <row r="5103" spans="1:4" outlineLevel="1" x14ac:dyDescent="0.25">
      <c r="A5103" t="s">
        <v>613</v>
      </c>
      <c r="B5103" t="s">
        <v>3</v>
      </c>
      <c r="C5103" s="1" t="str">
        <f>HYPERLINK("http://продеталь.рф/search.html?article=206358052","206358052")</f>
        <v>206358052</v>
      </c>
      <c r="D5103" t="s">
        <v>4</v>
      </c>
    </row>
    <row r="5104" spans="1:4" outlineLevel="1" x14ac:dyDescent="0.25">
      <c r="A5104" t="s">
        <v>613</v>
      </c>
      <c r="B5104" t="s">
        <v>3</v>
      </c>
      <c r="C5104" s="1" t="str">
        <f>HYPERLINK("http://продеталь.рф/search.html?article=206357052","206357052")</f>
        <v>206357052</v>
      </c>
      <c r="D5104" t="s">
        <v>4</v>
      </c>
    </row>
    <row r="5105" spans="1:4" outlineLevel="1" x14ac:dyDescent="0.25">
      <c r="A5105" t="s">
        <v>613</v>
      </c>
      <c r="B5105" t="s">
        <v>3</v>
      </c>
      <c r="C5105" s="1" t="str">
        <f>HYPERLINK("http://продеталь.рф/search.html?article=206358152","206358152")</f>
        <v>206358152</v>
      </c>
      <c r="D5105" t="s">
        <v>4</v>
      </c>
    </row>
    <row r="5106" spans="1:4" outlineLevel="1" x14ac:dyDescent="0.25">
      <c r="A5106" t="s">
        <v>613</v>
      </c>
      <c r="B5106" t="s">
        <v>3</v>
      </c>
      <c r="C5106" s="1" t="str">
        <f>HYPERLINK("http://продеталь.рф/search.html?article=206357152","206357152")</f>
        <v>206357152</v>
      </c>
      <c r="D5106" t="s">
        <v>4</v>
      </c>
    </row>
    <row r="5107" spans="1:4" outlineLevel="1" x14ac:dyDescent="0.25">
      <c r="A5107" t="s">
        <v>613</v>
      </c>
      <c r="B5107" t="s">
        <v>5</v>
      </c>
      <c r="C5107" s="1" t="str">
        <f>HYPERLINK("http://продеталь.рф/search.html?article=211635","211635")</f>
        <v>211635</v>
      </c>
      <c r="D5107" t="s">
        <v>21</v>
      </c>
    </row>
    <row r="5108" spans="1:4" outlineLevel="1" x14ac:dyDescent="0.25">
      <c r="A5108" t="s">
        <v>613</v>
      </c>
      <c r="B5108" t="s">
        <v>19</v>
      </c>
      <c r="C5108" s="1" t="str">
        <f>HYPERLINK("http://продеталь.рф/search.html?article=195720001","195720001")</f>
        <v>195720001</v>
      </c>
      <c r="D5108" t="s">
        <v>4</v>
      </c>
    </row>
    <row r="5109" spans="1:4" outlineLevel="1" x14ac:dyDescent="0.25">
      <c r="A5109" t="s">
        <v>613</v>
      </c>
      <c r="B5109" t="s">
        <v>19</v>
      </c>
      <c r="C5109" s="1" t="str">
        <f>HYPERLINK("http://продеталь.рф/search.html?article=195719001","195719001")</f>
        <v>195719001</v>
      </c>
      <c r="D5109" t="s">
        <v>4</v>
      </c>
    </row>
    <row r="5110" spans="1:4" outlineLevel="1" x14ac:dyDescent="0.25">
      <c r="A5110" t="s">
        <v>613</v>
      </c>
      <c r="B5110" t="s">
        <v>8</v>
      </c>
      <c r="C5110" s="1" t="str">
        <f>HYPERLINK("http://продеталь.рф/search.html?article=RC94439","RC94439")</f>
        <v>RC94439</v>
      </c>
      <c r="D5110" t="s">
        <v>6</v>
      </c>
    </row>
    <row r="5111" spans="1:4" outlineLevel="1" x14ac:dyDescent="0.25">
      <c r="A5111" t="s">
        <v>613</v>
      </c>
      <c r="B5111" t="s">
        <v>263</v>
      </c>
      <c r="C5111" s="1" t="str">
        <f>HYPERLINK("http://продеталь.рф/search.html?article=RN080009S0R00","RN080009S0R00")</f>
        <v>RN080009S0R00</v>
      </c>
      <c r="D5111" t="s">
        <v>9</v>
      </c>
    </row>
    <row r="5112" spans="1:4" outlineLevel="1" x14ac:dyDescent="0.25">
      <c r="A5112" t="s">
        <v>613</v>
      </c>
      <c r="B5112" t="s">
        <v>71</v>
      </c>
      <c r="C5112" s="1" t="str">
        <f>HYPERLINK("http://продеталь.рф/search.html?article=043625","043625")</f>
        <v>043625</v>
      </c>
      <c r="D5112" t="s">
        <v>163</v>
      </c>
    </row>
    <row r="5113" spans="1:4" outlineLevel="1" x14ac:dyDescent="0.25">
      <c r="A5113" t="s">
        <v>613</v>
      </c>
      <c r="B5113" t="s">
        <v>13</v>
      </c>
      <c r="C5113" s="1" t="str">
        <f>HYPERLINK("http://продеталь.рф/search.html?article=RN44004A","RN44004A")</f>
        <v>RN44004A</v>
      </c>
      <c r="D5113" t="s">
        <v>2</v>
      </c>
    </row>
    <row r="5114" spans="1:4" x14ac:dyDescent="0.25">
      <c r="A5114" t="s">
        <v>615</v>
      </c>
      <c r="B5114" s="2" t="s">
        <v>615</v>
      </c>
      <c r="C5114" s="2"/>
      <c r="D5114" s="2"/>
    </row>
    <row r="5115" spans="1:4" outlineLevel="1" x14ac:dyDescent="0.25">
      <c r="A5115" t="s">
        <v>615</v>
      </c>
      <c r="B5115" t="s">
        <v>11</v>
      </c>
      <c r="C5115" s="1" t="str">
        <f>HYPERLINK("http://продеталь.рф/search.html?article=PRN04090BA","PRN04090BA")</f>
        <v>PRN04090BA</v>
      </c>
      <c r="D5115" t="s">
        <v>6</v>
      </c>
    </row>
    <row r="5116" spans="1:4" outlineLevel="1" x14ac:dyDescent="0.25">
      <c r="A5116" t="s">
        <v>615</v>
      </c>
      <c r="B5116" t="s">
        <v>84</v>
      </c>
      <c r="C5116" s="1" t="str">
        <f>HYPERLINK("http://продеталь.рф/search.html?article=DC60000200L00","DC60000200L00")</f>
        <v>DC60000200L00</v>
      </c>
      <c r="D5116" t="s">
        <v>9</v>
      </c>
    </row>
    <row r="5117" spans="1:4" outlineLevel="1" x14ac:dyDescent="0.25">
      <c r="A5117" t="s">
        <v>615</v>
      </c>
      <c r="B5117" t="s">
        <v>84</v>
      </c>
      <c r="C5117" s="1" t="str">
        <f>HYPERLINK("http://продеталь.рф/search.html?article=DC60000200R00","DC60000200R00")</f>
        <v>DC60000200R00</v>
      </c>
      <c r="D5117" t="s">
        <v>9</v>
      </c>
    </row>
    <row r="5118" spans="1:4" outlineLevel="1" x14ac:dyDescent="0.25">
      <c r="A5118" t="s">
        <v>615</v>
      </c>
      <c r="B5118" t="s">
        <v>84</v>
      </c>
      <c r="C5118" s="1" t="str">
        <f>HYPERLINK("http://продеталь.рф/search.html?article=DC600087U0L00","DC600087U0L00")</f>
        <v>DC600087U0L00</v>
      </c>
      <c r="D5118" t="s">
        <v>9</v>
      </c>
    </row>
    <row r="5119" spans="1:4" outlineLevel="1" x14ac:dyDescent="0.25">
      <c r="A5119" t="s">
        <v>615</v>
      </c>
      <c r="B5119" t="s">
        <v>84</v>
      </c>
      <c r="C5119" s="1" t="str">
        <f>HYPERLINK("http://продеталь.рф/search.html?article=DC600087U0R00","DC600087U0R00")</f>
        <v>DC600087U0R00</v>
      </c>
      <c r="D5119" t="s">
        <v>9</v>
      </c>
    </row>
    <row r="5120" spans="1:4" outlineLevel="1" x14ac:dyDescent="0.25">
      <c r="A5120" t="s">
        <v>615</v>
      </c>
      <c r="B5120" t="s">
        <v>147</v>
      </c>
      <c r="C5120" s="1" t="str">
        <f>HYPERLINK("http://продеталь.рф/search.html?article=RNT3037AL","RNT3037AL")</f>
        <v>RNT3037AL</v>
      </c>
      <c r="D5120" t="s">
        <v>2</v>
      </c>
    </row>
    <row r="5121" spans="1:4" outlineLevel="1" x14ac:dyDescent="0.25">
      <c r="A5121" t="s">
        <v>615</v>
      </c>
      <c r="B5121" t="s">
        <v>147</v>
      </c>
      <c r="C5121" s="1" t="str">
        <f>HYPERLINK("http://продеталь.рф/search.html?article=RNT3037AR","RNT3037AR")</f>
        <v>RNT3037AR</v>
      </c>
      <c r="D5121" t="s">
        <v>2</v>
      </c>
    </row>
    <row r="5122" spans="1:4" outlineLevel="1" x14ac:dyDescent="0.25">
      <c r="A5122" t="s">
        <v>615</v>
      </c>
      <c r="B5122" t="s">
        <v>3</v>
      </c>
      <c r="C5122" s="1" t="str">
        <f>HYPERLINK("http://продеталь.рф/search.html?article=20C478A52B","20C478A52B")</f>
        <v>20C478A52B</v>
      </c>
      <c r="D5122" t="s">
        <v>4</v>
      </c>
    </row>
    <row r="5123" spans="1:4" outlineLevel="1" x14ac:dyDescent="0.25">
      <c r="A5123" t="s">
        <v>615</v>
      </c>
      <c r="B5123" t="s">
        <v>3</v>
      </c>
      <c r="C5123" s="1" t="str">
        <f>HYPERLINK("http://продеталь.рф/search.html?article=20C477A52B","20C477A52B")</f>
        <v>20C477A52B</v>
      </c>
      <c r="D5123" t="s">
        <v>4</v>
      </c>
    </row>
    <row r="5124" spans="1:4" outlineLevel="1" x14ac:dyDescent="0.25">
      <c r="A5124" t="s">
        <v>615</v>
      </c>
      <c r="B5124" t="s">
        <v>30</v>
      </c>
      <c r="C5124" s="1" t="str">
        <f>HYPERLINK("http://продеталь.рф/search.html?article=PRN99065CAL","PRN99065CAL")</f>
        <v>PRN99065CAL</v>
      </c>
      <c r="D5124" t="s">
        <v>6</v>
      </c>
    </row>
    <row r="5125" spans="1:4" outlineLevel="1" x14ac:dyDescent="0.25">
      <c r="A5125" t="s">
        <v>615</v>
      </c>
      <c r="B5125" t="s">
        <v>30</v>
      </c>
      <c r="C5125" s="1" t="str">
        <f>HYPERLINK("http://продеталь.рф/search.html?article=PRN99065CAR","PRN99065CAR")</f>
        <v>PRN99065CAR</v>
      </c>
      <c r="D5125" t="s">
        <v>6</v>
      </c>
    </row>
    <row r="5126" spans="1:4" outlineLevel="1" x14ac:dyDescent="0.25">
      <c r="A5126" t="s">
        <v>615</v>
      </c>
      <c r="B5126" t="s">
        <v>361</v>
      </c>
      <c r="C5126" s="1" t="str">
        <f>HYPERLINK("http://продеталь.рф/search.html?article=PRN44031A","PRN44031A")</f>
        <v>PRN44031A</v>
      </c>
      <c r="D5126" t="s">
        <v>6</v>
      </c>
    </row>
    <row r="5127" spans="1:4" x14ac:dyDescent="0.25">
      <c r="A5127" t="s">
        <v>616</v>
      </c>
      <c r="B5127" s="2" t="s">
        <v>616</v>
      </c>
      <c r="C5127" s="2"/>
      <c r="D5127" s="2"/>
    </row>
    <row r="5128" spans="1:4" outlineLevel="1" x14ac:dyDescent="0.25">
      <c r="A5128" t="s">
        <v>616</v>
      </c>
      <c r="B5128" t="s">
        <v>75</v>
      </c>
      <c r="C5128" s="1" t="str">
        <f>HYPERLINK("http://продеталь.рф/search.html?article=185269112","185269112")</f>
        <v>185269112</v>
      </c>
      <c r="D5128" t="s">
        <v>4</v>
      </c>
    </row>
    <row r="5129" spans="1:4" x14ac:dyDescent="0.25">
      <c r="A5129" t="s">
        <v>617</v>
      </c>
      <c r="B5129" s="2" t="s">
        <v>617</v>
      </c>
      <c r="C5129" s="2"/>
      <c r="D5129" s="2"/>
    </row>
    <row r="5130" spans="1:4" outlineLevel="1" x14ac:dyDescent="0.25">
      <c r="A5130" t="s">
        <v>617</v>
      </c>
      <c r="B5130" t="s">
        <v>84</v>
      </c>
      <c r="C5130" s="1" t="str">
        <f>HYPERLINK("http://продеталь.рф/search.html?article=351RNF012","351RNF012")</f>
        <v>351RNF012</v>
      </c>
      <c r="D5130" t="s">
        <v>4</v>
      </c>
    </row>
    <row r="5131" spans="1:4" outlineLevel="1" x14ac:dyDescent="0.25">
      <c r="A5131" t="s">
        <v>617</v>
      </c>
      <c r="B5131" t="s">
        <v>24</v>
      </c>
      <c r="C5131" s="1" t="str">
        <f>HYPERLINK("http://продеталь.рф/search.html?article=RN10056AL","RN10056AL")</f>
        <v>RN10056AL</v>
      </c>
      <c r="D5131" t="s">
        <v>2</v>
      </c>
    </row>
    <row r="5132" spans="1:4" outlineLevel="1" x14ac:dyDescent="0.25">
      <c r="A5132" t="s">
        <v>617</v>
      </c>
      <c r="B5132" t="s">
        <v>24</v>
      </c>
      <c r="C5132" s="1" t="str">
        <f>HYPERLINK("http://продеталь.рф/search.html?article=RN10056AR","RN10056AR")</f>
        <v>RN10056AR</v>
      </c>
      <c r="D5132" t="s">
        <v>2</v>
      </c>
    </row>
    <row r="5133" spans="1:4" outlineLevel="1" x14ac:dyDescent="0.25">
      <c r="A5133" t="s">
        <v>617</v>
      </c>
      <c r="B5133" t="s">
        <v>40</v>
      </c>
      <c r="C5133" s="1" t="str">
        <f>HYPERLINK("http://продеталь.рф/search.html?article=RN07068GA","RN07068GA")</f>
        <v>RN07068GA</v>
      </c>
      <c r="D5133" t="s">
        <v>2</v>
      </c>
    </row>
    <row r="5134" spans="1:4" x14ac:dyDescent="0.25">
      <c r="A5134" t="s">
        <v>618</v>
      </c>
      <c r="B5134" s="2" t="s">
        <v>618</v>
      </c>
      <c r="C5134" s="2"/>
      <c r="D5134" s="2"/>
    </row>
    <row r="5135" spans="1:4" outlineLevel="1" x14ac:dyDescent="0.25">
      <c r="A5135" t="s">
        <v>618</v>
      </c>
      <c r="B5135" t="s">
        <v>11</v>
      </c>
      <c r="C5135" s="1" t="str">
        <f>HYPERLINK("http://продеталь.рф/search.html?article=RN810870","RN810870")</f>
        <v>RN810870</v>
      </c>
      <c r="D5135" t="s">
        <v>9</v>
      </c>
    </row>
    <row r="5136" spans="1:4" outlineLevel="1" x14ac:dyDescent="0.25">
      <c r="A5136" t="s">
        <v>618</v>
      </c>
      <c r="B5136" t="s">
        <v>15</v>
      </c>
      <c r="C5136" s="1" t="str">
        <f>HYPERLINK("http://продеталь.рф/search.html?article=3280027","3280027")</f>
        <v>3280027</v>
      </c>
      <c r="D5136" t="s">
        <v>4</v>
      </c>
    </row>
    <row r="5137" spans="1:4" outlineLevel="1" x14ac:dyDescent="0.25">
      <c r="A5137" t="s">
        <v>618</v>
      </c>
      <c r="B5137" t="s">
        <v>15</v>
      </c>
      <c r="C5137" s="1" t="str">
        <f>HYPERLINK("http://продеталь.рф/search.html?article=3280028","3280028")</f>
        <v>3280028</v>
      </c>
      <c r="D5137" t="s">
        <v>4</v>
      </c>
    </row>
    <row r="5138" spans="1:4" outlineLevel="1" x14ac:dyDescent="0.25">
      <c r="A5138" t="s">
        <v>618</v>
      </c>
      <c r="B5138" t="s">
        <v>1</v>
      </c>
      <c r="C5138" s="1" t="str">
        <f>HYPERLINK("http://продеталь.рф/search.html?article=120127","120127")</f>
        <v>120127</v>
      </c>
      <c r="D5138" t="s">
        <v>164</v>
      </c>
    </row>
    <row r="5139" spans="1:4" outlineLevel="1" x14ac:dyDescent="0.25">
      <c r="A5139" t="s">
        <v>618</v>
      </c>
      <c r="B5139" t="s">
        <v>3</v>
      </c>
      <c r="C5139" s="1" t="str">
        <f>HYPERLINK("http://продеталь.рф/search.html?article=205298082","205298082")</f>
        <v>205298082</v>
      </c>
      <c r="D5139" t="s">
        <v>4</v>
      </c>
    </row>
    <row r="5140" spans="1:4" outlineLevel="1" x14ac:dyDescent="0.25">
      <c r="A5140" t="s">
        <v>618</v>
      </c>
      <c r="B5140" t="s">
        <v>5</v>
      </c>
      <c r="C5140" s="1" t="str">
        <f>HYPERLINK("http://продеталь.рф/search.html?article=211627A","211627A")</f>
        <v>211627A</v>
      </c>
      <c r="D5140" t="s">
        <v>21</v>
      </c>
    </row>
    <row r="5141" spans="1:4" outlineLevel="1" x14ac:dyDescent="0.25">
      <c r="A5141" t="s">
        <v>618</v>
      </c>
      <c r="B5141" t="s">
        <v>5</v>
      </c>
      <c r="C5141" s="1" t="str">
        <f>HYPERLINK("http://продеталь.рф/search.html?article=211628A","211628A")</f>
        <v>211628A</v>
      </c>
      <c r="D5141" t="s">
        <v>21</v>
      </c>
    </row>
    <row r="5142" spans="1:4" x14ac:dyDescent="0.25">
      <c r="A5142" t="s">
        <v>619</v>
      </c>
      <c r="B5142" s="2" t="s">
        <v>619</v>
      </c>
      <c r="C5142" s="2"/>
      <c r="D5142" s="2"/>
    </row>
    <row r="5143" spans="1:4" outlineLevel="1" x14ac:dyDescent="0.25">
      <c r="A5143" t="s">
        <v>619</v>
      </c>
      <c r="B5143" t="s">
        <v>11</v>
      </c>
      <c r="C5143" s="1" t="str">
        <f>HYPERLINK("http://продеталь.рф/search.html?article=RN820870","RN820870")</f>
        <v>RN820870</v>
      </c>
      <c r="D5143" t="s">
        <v>9</v>
      </c>
    </row>
    <row r="5144" spans="1:4" outlineLevel="1" x14ac:dyDescent="0.25">
      <c r="A5144" t="s">
        <v>619</v>
      </c>
      <c r="B5144" t="s">
        <v>11</v>
      </c>
      <c r="C5144" s="1" t="str">
        <f>HYPERLINK("http://продеталь.рф/search.html?article=RK11","RK11")</f>
        <v>RK11</v>
      </c>
      <c r="D5144" t="s">
        <v>18</v>
      </c>
    </row>
    <row r="5145" spans="1:4" outlineLevel="1" x14ac:dyDescent="0.25">
      <c r="A5145" t="s">
        <v>619</v>
      </c>
      <c r="B5145" t="s">
        <v>15</v>
      </c>
      <c r="C5145" s="1" t="str">
        <f>HYPERLINK("http://продеталь.рф/search.html?article=3280029","3280029")</f>
        <v>3280029</v>
      </c>
      <c r="D5145" t="s">
        <v>4</v>
      </c>
    </row>
    <row r="5146" spans="1:4" outlineLevel="1" x14ac:dyDescent="0.25">
      <c r="A5146" t="s">
        <v>619</v>
      </c>
      <c r="B5146" t="s">
        <v>1</v>
      </c>
      <c r="C5146" s="1" t="str">
        <f>HYPERLINK("http://продеталь.рф/search.html?article=RN82001500000","RN82001500000")</f>
        <v>RN82001500000</v>
      </c>
      <c r="D5146" t="s">
        <v>9</v>
      </c>
    </row>
    <row r="5147" spans="1:4" outlineLevel="1" x14ac:dyDescent="0.25">
      <c r="A5147" t="s">
        <v>619</v>
      </c>
      <c r="B5147" t="s">
        <v>51</v>
      </c>
      <c r="C5147" s="1" t="str">
        <f>HYPERLINK("http://продеталь.рф/search.html?article=PRN34005A","PRN34005A")</f>
        <v>PRN34005A</v>
      </c>
      <c r="D5147" t="s">
        <v>6</v>
      </c>
    </row>
    <row r="5148" spans="1:4" outlineLevel="1" x14ac:dyDescent="0.25">
      <c r="A5148" t="s">
        <v>619</v>
      </c>
      <c r="B5148" t="s">
        <v>3</v>
      </c>
      <c r="C5148" s="1" t="str">
        <f>HYPERLINK("http://продеталь.рф/search.html?article=200361052","200361052")</f>
        <v>200361052</v>
      </c>
      <c r="D5148" t="s">
        <v>4</v>
      </c>
    </row>
    <row r="5149" spans="1:4" outlineLevel="1" x14ac:dyDescent="0.25">
      <c r="A5149" t="s">
        <v>619</v>
      </c>
      <c r="B5149" t="s">
        <v>3</v>
      </c>
      <c r="C5149" s="1" t="str">
        <f>HYPERLINK("http://продеталь.рф/search.html?article=200361152","200361152")</f>
        <v>200361152</v>
      </c>
      <c r="D5149" t="s">
        <v>4</v>
      </c>
    </row>
    <row r="5150" spans="1:4" outlineLevel="1" x14ac:dyDescent="0.25">
      <c r="A5150" t="s">
        <v>619</v>
      </c>
      <c r="B5150" t="s">
        <v>12</v>
      </c>
      <c r="C5150" s="1" t="str">
        <f>HYPERLINK("http://продеталь.рф/search.html?article=RK16","RK16")</f>
        <v>RK16</v>
      </c>
      <c r="D5150" t="s">
        <v>18</v>
      </c>
    </row>
    <row r="5151" spans="1:4" x14ac:dyDescent="0.25">
      <c r="A5151" t="s">
        <v>620</v>
      </c>
      <c r="B5151" s="2" t="s">
        <v>620</v>
      </c>
      <c r="C5151" s="2"/>
      <c r="D5151" s="2"/>
    </row>
    <row r="5152" spans="1:4" outlineLevel="1" x14ac:dyDescent="0.25">
      <c r="A5152" t="s">
        <v>620</v>
      </c>
      <c r="B5152" t="s">
        <v>11</v>
      </c>
      <c r="C5152" s="1" t="str">
        <f>HYPERLINK("http://продеталь.рф/search.html?article=RK23","RK23")</f>
        <v>RK23</v>
      </c>
      <c r="D5152" t="s">
        <v>18</v>
      </c>
    </row>
    <row r="5153" spans="1:4" outlineLevel="1" x14ac:dyDescent="0.25">
      <c r="A5153" t="s">
        <v>620</v>
      </c>
      <c r="B5153" t="s">
        <v>11</v>
      </c>
      <c r="C5153" s="1" t="str">
        <f>HYPERLINK("http://продеталь.рф/search.html?article=RK21","RK21")</f>
        <v>RK21</v>
      </c>
      <c r="D5153" t="s">
        <v>18</v>
      </c>
    </row>
    <row r="5154" spans="1:4" outlineLevel="1" x14ac:dyDescent="0.25">
      <c r="A5154" t="s">
        <v>620</v>
      </c>
      <c r="B5154" t="s">
        <v>15</v>
      </c>
      <c r="C5154" s="1" t="str">
        <f>HYPERLINK("http://продеталь.рф/search.html?article=VRNM1021ML","VRNM1021ML")</f>
        <v>VRNM1021ML</v>
      </c>
      <c r="D5154" t="s">
        <v>6</v>
      </c>
    </row>
    <row r="5155" spans="1:4" outlineLevel="1" x14ac:dyDescent="0.25">
      <c r="A5155" t="s">
        <v>620</v>
      </c>
      <c r="B5155" t="s">
        <v>24</v>
      </c>
      <c r="C5155" s="1" t="str">
        <f>HYPERLINK("http://продеталь.рф/search.html?article=RN01012AL","RN01012AL")</f>
        <v>RN01012AL</v>
      </c>
      <c r="D5155" t="s">
        <v>2</v>
      </c>
    </row>
    <row r="5156" spans="1:4" outlineLevel="1" x14ac:dyDescent="0.25">
      <c r="A5156" t="s">
        <v>620</v>
      </c>
      <c r="B5156" t="s">
        <v>26</v>
      </c>
      <c r="C5156" s="1" t="str">
        <f>HYPERLINK("http://продеталь.рф/search.html?article=RN04068MA","RN04068MA")</f>
        <v>RN04068MA</v>
      </c>
      <c r="D5156" t="s">
        <v>2</v>
      </c>
    </row>
    <row r="5157" spans="1:4" outlineLevel="1" x14ac:dyDescent="0.25">
      <c r="A5157" t="s">
        <v>620</v>
      </c>
      <c r="B5157" t="s">
        <v>3</v>
      </c>
      <c r="C5157" s="1" t="str">
        <f>HYPERLINK("http://продеталь.рф/search.html?article=20B399C52B","20B399C52B")</f>
        <v>20B399C52B</v>
      </c>
      <c r="D5157" t="s">
        <v>4</v>
      </c>
    </row>
    <row r="5158" spans="1:4" outlineLevel="1" x14ac:dyDescent="0.25">
      <c r="A5158" t="s">
        <v>620</v>
      </c>
      <c r="B5158" t="s">
        <v>3</v>
      </c>
      <c r="C5158" s="1" t="str">
        <f>HYPERLINK("http://продеталь.рф/search.html?article=20B400C52B","20B400C52B")</f>
        <v>20B400C52B</v>
      </c>
      <c r="D5158" t="s">
        <v>4</v>
      </c>
    </row>
    <row r="5159" spans="1:4" outlineLevel="1" x14ac:dyDescent="0.25">
      <c r="A5159" t="s">
        <v>620</v>
      </c>
      <c r="B5159" t="s">
        <v>5</v>
      </c>
      <c r="C5159" s="1" t="str">
        <f>HYPERLINK("http://продеталь.рф/search.html?article=PRN11012AL","PRN11012AL")</f>
        <v>PRN11012AL</v>
      </c>
      <c r="D5159" t="s">
        <v>6</v>
      </c>
    </row>
    <row r="5160" spans="1:4" outlineLevel="1" x14ac:dyDescent="0.25">
      <c r="A5160" t="s">
        <v>620</v>
      </c>
      <c r="B5160" t="s">
        <v>5</v>
      </c>
      <c r="C5160" s="1" t="str">
        <f>HYPERLINK("http://продеталь.рф/search.html?article=211672A","211672A")</f>
        <v>211672A</v>
      </c>
      <c r="D5160" t="s">
        <v>21</v>
      </c>
    </row>
    <row r="5161" spans="1:4" outlineLevel="1" x14ac:dyDescent="0.25">
      <c r="A5161" t="s">
        <v>620</v>
      </c>
      <c r="B5161" t="s">
        <v>5</v>
      </c>
      <c r="C5161" s="1" t="str">
        <f>HYPERLINK("http://продеталь.рф/search.html?article=211672B","211672B")</f>
        <v>211672B</v>
      </c>
      <c r="D5161" t="s">
        <v>21</v>
      </c>
    </row>
    <row r="5162" spans="1:4" outlineLevel="1" x14ac:dyDescent="0.25">
      <c r="A5162" t="s">
        <v>620</v>
      </c>
      <c r="B5162" t="s">
        <v>12</v>
      </c>
      <c r="C5162" s="1" t="str">
        <f>HYPERLINK("http://продеталь.рф/search.html?article=RN821093R0000","RN821093R0000")</f>
        <v>RN821093R0000</v>
      </c>
      <c r="D5162" t="s">
        <v>9</v>
      </c>
    </row>
    <row r="5163" spans="1:4" x14ac:dyDescent="0.25">
      <c r="A5163" t="s">
        <v>621</v>
      </c>
      <c r="B5163" s="2" t="s">
        <v>621</v>
      </c>
      <c r="C5163" s="2"/>
      <c r="D5163" s="2"/>
    </row>
    <row r="5164" spans="1:4" outlineLevel="1" x14ac:dyDescent="0.25">
      <c r="A5164" t="s">
        <v>621</v>
      </c>
      <c r="B5164" t="s">
        <v>11</v>
      </c>
      <c r="C5164" s="1" t="str">
        <f>HYPERLINK("http://продеталь.рф/search.html?article=RN04023BA","RN04023BA")</f>
        <v>RN04023BA</v>
      </c>
      <c r="D5164" t="s">
        <v>2</v>
      </c>
    </row>
    <row r="5165" spans="1:4" outlineLevel="1" x14ac:dyDescent="0.25">
      <c r="A5165" t="s">
        <v>621</v>
      </c>
      <c r="B5165" t="s">
        <v>11</v>
      </c>
      <c r="C5165" s="1" t="str">
        <f>HYPERLINK("http://продеталь.рф/search.html?article=RN23000000000","RN23000000000")</f>
        <v>RN23000000000</v>
      </c>
      <c r="D5165" t="s">
        <v>9</v>
      </c>
    </row>
    <row r="5166" spans="1:4" outlineLevel="1" x14ac:dyDescent="0.25">
      <c r="A5166" t="s">
        <v>621</v>
      </c>
      <c r="B5166" t="s">
        <v>45</v>
      </c>
      <c r="C5166" s="1" t="str">
        <f>HYPERLINK("http://продеталь.рф/search.html?article=6049582","6049582")</f>
        <v>6049582</v>
      </c>
      <c r="D5166" t="s">
        <v>46</v>
      </c>
    </row>
    <row r="5167" spans="1:4" outlineLevel="1" x14ac:dyDescent="0.25">
      <c r="A5167" t="s">
        <v>621</v>
      </c>
      <c r="B5167" t="s">
        <v>24</v>
      </c>
      <c r="C5167" s="1" t="str">
        <f>HYPERLINK("http://продеталь.рф/search.html?article=RN10014AR","RN10014AR")</f>
        <v>RN10014AR</v>
      </c>
      <c r="D5167" t="s">
        <v>2</v>
      </c>
    </row>
    <row r="5168" spans="1:4" outlineLevel="1" x14ac:dyDescent="0.25">
      <c r="A5168" t="s">
        <v>621</v>
      </c>
      <c r="B5168" t="s">
        <v>24</v>
      </c>
      <c r="C5168" s="1" t="str">
        <f>HYPERLINK("http://продеталь.рф/search.html?article=64061006090","64061006090")</f>
        <v>64061006090</v>
      </c>
      <c r="D5168" t="s">
        <v>49</v>
      </c>
    </row>
    <row r="5169" spans="1:4" outlineLevel="1" x14ac:dyDescent="0.25">
      <c r="A5169" t="s">
        <v>621</v>
      </c>
      <c r="B5169" t="s">
        <v>50</v>
      </c>
      <c r="C5169" s="1" t="str">
        <f>HYPERLINK("http://продеталь.рф/search.html?article=RN07021GA","RN07021GA")</f>
        <v>RN07021GA</v>
      </c>
      <c r="D5169" t="s">
        <v>2</v>
      </c>
    </row>
    <row r="5170" spans="1:4" outlineLevel="1" x14ac:dyDescent="0.25">
      <c r="A5170" t="s">
        <v>621</v>
      </c>
      <c r="B5170" t="s">
        <v>3</v>
      </c>
      <c r="C5170" s="1" t="str">
        <f>HYPERLINK("http://продеталь.рф/search.html?article=203264182","203264182")</f>
        <v>203264182</v>
      </c>
      <c r="D5170" t="s">
        <v>4</v>
      </c>
    </row>
    <row r="5171" spans="1:4" outlineLevel="1" x14ac:dyDescent="0.25">
      <c r="A5171" t="s">
        <v>621</v>
      </c>
      <c r="B5171" t="s">
        <v>5</v>
      </c>
      <c r="C5171" s="1" t="str">
        <f>HYPERLINK("http://продеталь.рф/search.html?article=211609B","211609B")</f>
        <v>211609B</v>
      </c>
      <c r="D5171" t="s">
        <v>21</v>
      </c>
    </row>
    <row r="5172" spans="1:4" outlineLevel="1" x14ac:dyDescent="0.25">
      <c r="A5172" t="s">
        <v>621</v>
      </c>
      <c r="B5172" t="s">
        <v>5</v>
      </c>
      <c r="C5172" s="1" t="str">
        <f>HYPERLINK("http://продеталь.рф/search.html?article=211610B","211610B")</f>
        <v>211610B</v>
      </c>
      <c r="D5172" t="s">
        <v>21</v>
      </c>
    </row>
    <row r="5173" spans="1:4" outlineLevel="1" x14ac:dyDescent="0.25">
      <c r="A5173" t="s">
        <v>621</v>
      </c>
      <c r="B5173" t="s">
        <v>5</v>
      </c>
      <c r="C5173" s="1" t="str">
        <f>HYPERLINK("http://продеталь.рф/search.html?article=211609A","211609A")</f>
        <v>211609A</v>
      </c>
      <c r="D5173" t="s">
        <v>21</v>
      </c>
    </row>
    <row r="5174" spans="1:4" outlineLevel="1" x14ac:dyDescent="0.25">
      <c r="A5174" t="s">
        <v>621</v>
      </c>
      <c r="B5174" t="s">
        <v>5</v>
      </c>
      <c r="C5174" s="1" t="str">
        <f>HYPERLINK("http://продеталь.рф/search.html?article=211609C","211609C")</f>
        <v>211609C</v>
      </c>
      <c r="D5174" t="s">
        <v>21</v>
      </c>
    </row>
    <row r="5175" spans="1:4" outlineLevel="1" x14ac:dyDescent="0.25">
      <c r="A5175" t="s">
        <v>621</v>
      </c>
      <c r="B5175" t="s">
        <v>5</v>
      </c>
      <c r="C5175" s="1" t="str">
        <f>HYPERLINK("http://продеталь.рф/search.html?article=211639","211639")</f>
        <v>211639</v>
      </c>
      <c r="D5175" t="s">
        <v>21</v>
      </c>
    </row>
    <row r="5176" spans="1:4" outlineLevel="1" x14ac:dyDescent="0.25">
      <c r="A5176" t="s">
        <v>621</v>
      </c>
      <c r="B5176" t="s">
        <v>5</v>
      </c>
      <c r="C5176" s="1" t="str">
        <f>HYPERLINK("http://продеталь.рф/search.html?article=211640","211640")</f>
        <v>211640</v>
      </c>
      <c r="D5176" t="s">
        <v>21</v>
      </c>
    </row>
    <row r="5177" spans="1:4" outlineLevel="1" x14ac:dyDescent="0.25">
      <c r="A5177" t="s">
        <v>621</v>
      </c>
      <c r="B5177" t="s">
        <v>54</v>
      </c>
      <c r="C5177" s="1" t="str">
        <f>HYPERLINK("http://продеталь.рф/search.html?article=6049011","6049011")</f>
        <v>6049011</v>
      </c>
      <c r="D5177" t="s">
        <v>46</v>
      </c>
    </row>
    <row r="5178" spans="1:4" outlineLevel="1" x14ac:dyDescent="0.25">
      <c r="A5178" t="s">
        <v>621</v>
      </c>
      <c r="B5178" t="s">
        <v>28</v>
      </c>
      <c r="C5178" s="1" t="str">
        <f>HYPERLINK("http://продеталь.рф/search.html?article=RA63832A","RA63832A")</f>
        <v>RA63832A</v>
      </c>
      <c r="D5178" t="s">
        <v>6</v>
      </c>
    </row>
    <row r="5179" spans="1:4" outlineLevel="1" x14ac:dyDescent="0.25">
      <c r="A5179" t="s">
        <v>621</v>
      </c>
      <c r="B5179" t="s">
        <v>12</v>
      </c>
      <c r="C5179" s="1" t="str">
        <f>HYPERLINK("http://продеталь.рф/search.html?article=RN07001GA","RN07001GA")</f>
        <v>RN07001GA</v>
      </c>
      <c r="D5179" t="s">
        <v>2</v>
      </c>
    </row>
    <row r="5180" spans="1:4" outlineLevel="1" x14ac:dyDescent="0.25">
      <c r="A5180" t="s">
        <v>621</v>
      </c>
      <c r="B5180" t="s">
        <v>16</v>
      </c>
      <c r="C5180" s="1" t="str">
        <f>HYPERLINK("http://продеталь.рф/search.html?article=183592052","183592052")</f>
        <v>183592052</v>
      </c>
      <c r="D5180" t="s">
        <v>4</v>
      </c>
    </row>
    <row r="5181" spans="1:4" outlineLevel="1" x14ac:dyDescent="0.25">
      <c r="A5181" t="s">
        <v>621</v>
      </c>
      <c r="B5181" t="s">
        <v>16</v>
      </c>
      <c r="C5181" s="1" t="str">
        <f>HYPERLINK("http://продеталь.рф/search.html?article=183591052","183591052")</f>
        <v>183591052</v>
      </c>
      <c r="D5181" t="s">
        <v>4</v>
      </c>
    </row>
    <row r="5182" spans="1:4" x14ac:dyDescent="0.25">
      <c r="A5182" t="s">
        <v>622</v>
      </c>
      <c r="B5182" s="2" t="s">
        <v>622</v>
      </c>
      <c r="C5182" s="2"/>
      <c r="D5182" s="2"/>
    </row>
    <row r="5183" spans="1:4" outlineLevel="1" x14ac:dyDescent="0.25">
      <c r="A5183" t="s">
        <v>622</v>
      </c>
      <c r="B5183" t="s">
        <v>15</v>
      </c>
      <c r="C5183" s="1" t="str">
        <f>HYPERLINK("http://продеталь.рф/search.html?article=3280080","3280080")</f>
        <v>3280080</v>
      </c>
      <c r="D5183" t="s">
        <v>4</v>
      </c>
    </row>
    <row r="5184" spans="1:4" outlineLevel="1" x14ac:dyDescent="0.25">
      <c r="A5184" t="s">
        <v>622</v>
      </c>
      <c r="B5184" t="s">
        <v>23</v>
      </c>
      <c r="C5184" s="1" t="str">
        <f>HYPERLINK("http://продеталь.рф/search.html?article=110327012","110327012")</f>
        <v>110327012</v>
      </c>
      <c r="D5184" t="s">
        <v>4</v>
      </c>
    </row>
    <row r="5185" spans="1:4" outlineLevel="1" x14ac:dyDescent="0.25">
      <c r="A5185" t="s">
        <v>622</v>
      </c>
      <c r="B5185" t="s">
        <v>23</v>
      </c>
      <c r="C5185" s="1" t="str">
        <f>HYPERLINK("http://продеталь.рф/search.html?article=110351012","110351012")</f>
        <v>110351012</v>
      </c>
      <c r="D5185" t="s">
        <v>4</v>
      </c>
    </row>
    <row r="5186" spans="1:4" outlineLevel="1" x14ac:dyDescent="0.25">
      <c r="A5186" t="s">
        <v>622</v>
      </c>
      <c r="B5186" t="s">
        <v>24</v>
      </c>
      <c r="C5186" s="1" t="str">
        <f>HYPERLINK("http://продеталь.рф/search.html?article=00282011","00282011")</f>
        <v>00282011</v>
      </c>
      <c r="D5186" t="s">
        <v>2</v>
      </c>
    </row>
    <row r="5187" spans="1:4" outlineLevel="1" x14ac:dyDescent="0.25">
      <c r="A5187" t="s">
        <v>622</v>
      </c>
      <c r="B5187" t="s">
        <v>24</v>
      </c>
      <c r="C5187" s="1" t="str">
        <f>HYPERLINK("http://продеталь.рф/search.html?article=00282012","00282012")</f>
        <v>00282012</v>
      </c>
      <c r="D5187" t="s">
        <v>2</v>
      </c>
    </row>
    <row r="5188" spans="1:4" outlineLevel="1" x14ac:dyDescent="0.25">
      <c r="A5188" t="s">
        <v>622</v>
      </c>
      <c r="B5188" t="s">
        <v>3</v>
      </c>
      <c r="C5188" s="1" t="str">
        <f>HYPERLINK("http://продеталь.рф/search.html?article=200158052","200158052")</f>
        <v>200158052</v>
      </c>
      <c r="D5188" t="s">
        <v>4</v>
      </c>
    </row>
    <row r="5189" spans="1:4" outlineLevel="1" x14ac:dyDescent="0.25">
      <c r="A5189" t="s">
        <v>622</v>
      </c>
      <c r="B5189" t="s">
        <v>12</v>
      </c>
      <c r="C5189" s="1" t="str">
        <f>HYPERLINK("http://продеталь.рф/search.html?article=RN07031GA","RN07031GA")</f>
        <v>RN07031GA</v>
      </c>
      <c r="D5189" t="s">
        <v>2</v>
      </c>
    </row>
    <row r="5190" spans="1:4" x14ac:dyDescent="0.25">
      <c r="A5190" t="s">
        <v>623</v>
      </c>
      <c r="B5190" s="2" t="s">
        <v>623</v>
      </c>
      <c r="C5190" s="2"/>
      <c r="D5190" s="2"/>
    </row>
    <row r="5191" spans="1:4" outlineLevel="1" x14ac:dyDescent="0.25">
      <c r="A5191" t="s">
        <v>623</v>
      </c>
      <c r="B5191" t="s">
        <v>3</v>
      </c>
      <c r="C5191" s="1" t="str">
        <f>HYPERLINK("http://продеталь.рф/search.html?article=201352052B","201352052B")</f>
        <v>201352052B</v>
      </c>
      <c r="D5191" t="s">
        <v>4</v>
      </c>
    </row>
    <row r="5192" spans="1:4" outlineLevel="1" x14ac:dyDescent="0.25">
      <c r="A5192" t="s">
        <v>623</v>
      </c>
      <c r="B5192" t="s">
        <v>5</v>
      </c>
      <c r="C5192" s="1" t="str">
        <f>HYPERLINK("http://продеталь.рф/search.html?article=211675","211675")</f>
        <v>211675</v>
      </c>
      <c r="D5192" t="s">
        <v>21</v>
      </c>
    </row>
    <row r="5193" spans="1:4" outlineLevel="1" x14ac:dyDescent="0.25">
      <c r="A5193" t="s">
        <v>623</v>
      </c>
      <c r="B5193" t="s">
        <v>5</v>
      </c>
      <c r="C5193" s="1" t="str">
        <f>HYPERLINK("http://продеталь.рф/search.html?article=211676","211676")</f>
        <v>211676</v>
      </c>
      <c r="D5193" t="s">
        <v>21</v>
      </c>
    </row>
    <row r="5194" spans="1:4" x14ac:dyDescent="0.25">
      <c r="A5194" t="s">
        <v>624</v>
      </c>
      <c r="B5194" s="2" t="s">
        <v>624</v>
      </c>
      <c r="C5194" s="2"/>
      <c r="D5194" s="2"/>
    </row>
    <row r="5195" spans="1:4" outlineLevel="1" x14ac:dyDescent="0.25">
      <c r="A5195" t="s">
        <v>624</v>
      </c>
      <c r="B5195" t="s">
        <v>11</v>
      </c>
      <c r="C5195" s="1" t="str">
        <f>HYPERLINK("http://продеталь.рф/search.html?article=DAC07LO001","DAC07LO001")</f>
        <v>DAC07LO001</v>
      </c>
      <c r="D5195" t="s">
        <v>182</v>
      </c>
    </row>
    <row r="5196" spans="1:4" outlineLevel="1" x14ac:dyDescent="0.25">
      <c r="A5196" t="s">
        <v>624</v>
      </c>
      <c r="B5196" t="s">
        <v>11</v>
      </c>
      <c r="C5196" s="1" t="str">
        <f>HYPERLINK("http://продеталь.рф/search.html?article=DAC07LO002","DAC07LO002")</f>
        <v>DAC07LO002</v>
      </c>
      <c r="D5196" t="s">
        <v>182</v>
      </c>
    </row>
    <row r="5197" spans="1:4" outlineLevel="1" x14ac:dyDescent="0.25">
      <c r="A5197" t="s">
        <v>624</v>
      </c>
      <c r="B5197" t="s">
        <v>11</v>
      </c>
      <c r="C5197" s="1" t="str">
        <f>HYPERLINK("http://продеталь.рф/search.html?article=RN04058BA","RN04058BA")</f>
        <v>RN04058BA</v>
      </c>
      <c r="D5197" t="s">
        <v>2</v>
      </c>
    </row>
    <row r="5198" spans="1:4" outlineLevel="1" x14ac:dyDescent="0.25">
      <c r="A5198" t="s">
        <v>624</v>
      </c>
      <c r="B5198" t="s">
        <v>11</v>
      </c>
      <c r="C5198" s="1" t="str">
        <f>HYPERLINK("http://продеталь.рф/search.html?article=DAC07LO007","DAC07LO007")</f>
        <v>DAC07LO007</v>
      </c>
      <c r="D5198" t="s">
        <v>182</v>
      </c>
    </row>
    <row r="5199" spans="1:4" outlineLevel="1" x14ac:dyDescent="0.25">
      <c r="A5199" t="s">
        <v>624</v>
      </c>
      <c r="B5199" t="s">
        <v>11</v>
      </c>
      <c r="C5199" s="1" t="str">
        <f>HYPERLINK("http://продеталь.рф/search.html?article=RN04073BA","RN04073BA")</f>
        <v>RN04073BA</v>
      </c>
      <c r="D5199" t="s">
        <v>2</v>
      </c>
    </row>
    <row r="5200" spans="1:4" outlineLevel="1" x14ac:dyDescent="0.25">
      <c r="A5200" t="s">
        <v>624</v>
      </c>
      <c r="B5200" t="s">
        <v>11</v>
      </c>
      <c r="C5200" s="1" t="str">
        <f>HYPERLINK("http://продеталь.рф/search.html?article=LO09207","LO09207")</f>
        <v>LO09207</v>
      </c>
      <c r="D5200" t="s">
        <v>18</v>
      </c>
    </row>
    <row r="5201" spans="1:4" outlineLevel="1" x14ac:dyDescent="0.25">
      <c r="A5201" t="s">
        <v>624</v>
      </c>
      <c r="B5201" t="s">
        <v>11</v>
      </c>
      <c r="C5201" s="1" t="str">
        <f>HYPERLINK("http://продеталь.рф/search.html?article=RN04059BA","RN04059BA")</f>
        <v>RN04059BA</v>
      </c>
      <c r="D5201" t="s">
        <v>2</v>
      </c>
    </row>
    <row r="5202" spans="1:4" outlineLevel="1" x14ac:dyDescent="0.25">
      <c r="A5202" t="s">
        <v>624</v>
      </c>
      <c r="B5202" t="s">
        <v>11</v>
      </c>
      <c r="C5202" s="1" t="str">
        <f>HYPERLINK("http://продеталь.рф/search.html?article=PRN04072BR","PRN04072BR")</f>
        <v>PRN04072BR</v>
      </c>
      <c r="D5202" t="s">
        <v>6</v>
      </c>
    </row>
    <row r="5203" spans="1:4" outlineLevel="1" x14ac:dyDescent="0.25">
      <c r="A5203" t="s">
        <v>624</v>
      </c>
      <c r="B5203" t="s">
        <v>15</v>
      </c>
      <c r="C5203" s="1" t="str">
        <f>HYPERLINK("http://продеталь.рф/search.html?article=3280111","3280111")</f>
        <v>3280111</v>
      </c>
      <c r="D5203" t="s">
        <v>4</v>
      </c>
    </row>
    <row r="5204" spans="1:4" outlineLevel="1" x14ac:dyDescent="0.25">
      <c r="A5204" t="s">
        <v>624</v>
      </c>
      <c r="B5204" t="s">
        <v>15</v>
      </c>
      <c r="C5204" s="1" t="str">
        <f>HYPERLINK("http://продеталь.рф/search.html?article=3280109","3280109")</f>
        <v>3280109</v>
      </c>
      <c r="D5204" t="s">
        <v>4</v>
      </c>
    </row>
    <row r="5205" spans="1:4" outlineLevel="1" x14ac:dyDescent="0.25">
      <c r="A5205" t="s">
        <v>624</v>
      </c>
      <c r="B5205" t="s">
        <v>15</v>
      </c>
      <c r="C5205" s="1" t="str">
        <f>HYPERLINK("http://продеталь.рф/search.html?article=VRNM1023CRE","VRNM1023CRE")</f>
        <v>VRNM1023CRE</v>
      </c>
      <c r="D5205" t="s">
        <v>6</v>
      </c>
    </row>
    <row r="5206" spans="1:4" outlineLevel="1" x14ac:dyDescent="0.25">
      <c r="A5206" t="s">
        <v>624</v>
      </c>
      <c r="B5206" t="s">
        <v>15</v>
      </c>
      <c r="C5206" s="1" t="str">
        <f>HYPERLINK("http://продеталь.рф/search.html?article=VRNM1012CL","VRNM1012CL")</f>
        <v>VRNM1012CL</v>
      </c>
      <c r="D5206" t="s">
        <v>6</v>
      </c>
    </row>
    <row r="5207" spans="1:4" outlineLevel="1" x14ac:dyDescent="0.25">
      <c r="A5207" t="s">
        <v>624</v>
      </c>
      <c r="B5207" t="s">
        <v>15</v>
      </c>
      <c r="C5207" s="1" t="str">
        <f>HYPERLINK("http://продеталь.рф/search.html?article=VRNM1012CR","VRNM1012CR")</f>
        <v>VRNM1012CR</v>
      </c>
      <c r="D5207" t="s">
        <v>6</v>
      </c>
    </row>
    <row r="5208" spans="1:4" outlineLevel="1" x14ac:dyDescent="0.25">
      <c r="A5208" t="s">
        <v>624</v>
      </c>
      <c r="B5208" t="s">
        <v>23</v>
      </c>
      <c r="C5208" s="1" t="str">
        <f>HYPERLINK("http://продеталь.рф/search.html?article=11A758012B","11A758012B")</f>
        <v>11A758012B</v>
      </c>
      <c r="D5208" t="s">
        <v>4</v>
      </c>
    </row>
    <row r="5209" spans="1:4" outlineLevel="1" x14ac:dyDescent="0.25">
      <c r="A5209" t="s">
        <v>624</v>
      </c>
      <c r="B5209" t="s">
        <v>23</v>
      </c>
      <c r="C5209" s="1" t="str">
        <f>HYPERLINK("http://продеталь.рф/search.html?article=11A757012B","11A757012B")</f>
        <v>11A757012B</v>
      </c>
      <c r="D5209" t="s">
        <v>4</v>
      </c>
    </row>
    <row r="5210" spans="1:4" outlineLevel="1" x14ac:dyDescent="0.25">
      <c r="A5210" t="s">
        <v>624</v>
      </c>
      <c r="B5210" t="s">
        <v>23</v>
      </c>
      <c r="C5210" s="1" t="str">
        <f>HYPERLINK("http://продеталь.рф/search.html?article=110758152","110758152")</f>
        <v>110758152</v>
      </c>
      <c r="D5210" t="s">
        <v>4</v>
      </c>
    </row>
    <row r="5211" spans="1:4" outlineLevel="1" x14ac:dyDescent="0.25">
      <c r="A5211" t="s">
        <v>624</v>
      </c>
      <c r="B5211" t="s">
        <v>23</v>
      </c>
      <c r="C5211" s="1" t="str">
        <f>HYPERLINK("http://продеталь.рф/search.html?article=110757152","110757152")</f>
        <v>110757152</v>
      </c>
      <c r="D5211" t="s">
        <v>4</v>
      </c>
    </row>
    <row r="5212" spans="1:4" outlineLevel="1" x14ac:dyDescent="0.25">
      <c r="A5212" t="s">
        <v>624</v>
      </c>
      <c r="B5212" t="s">
        <v>23</v>
      </c>
      <c r="C5212" s="1" t="str">
        <f>HYPERLINK("http://продеталь.рф/search.html?article=11B550012B","11B550012B")</f>
        <v>11B550012B</v>
      </c>
      <c r="D5212" t="s">
        <v>4</v>
      </c>
    </row>
    <row r="5213" spans="1:4" outlineLevel="1" x14ac:dyDescent="0.25">
      <c r="A5213" t="s">
        <v>624</v>
      </c>
      <c r="B5213" t="s">
        <v>23</v>
      </c>
      <c r="C5213" s="1" t="str">
        <f>HYPERLINK("http://продеталь.рф/search.html?article=11B549012B","11B549012B")</f>
        <v>11B549012B</v>
      </c>
      <c r="D5213" t="s">
        <v>4</v>
      </c>
    </row>
    <row r="5214" spans="1:4" outlineLevel="1" x14ac:dyDescent="0.25">
      <c r="A5214" t="s">
        <v>624</v>
      </c>
      <c r="B5214" t="s">
        <v>240</v>
      </c>
      <c r="C5214" s="1" t="str">
        <f>HYPERLINK("http://продеталь.рф/search.html?article=VRNM1025ELE","VRNM1025ELE")</f>
        <v>VRNM1025ELE</v>
      </c>
      <c r="D5214" t="s">
        <v>6</v>
      </c>
    </row>
    <row r="5215" spans="1:4" outlineLevel="1" x14ac:dyDescent="0.25">
      <c r="A5215" t="s">
        <v>624</v>
      </c>
      <c r="B5215" t="s">
        <v>3</v>
      </c>
      <c r="C5215" s="1" t="str">
        <f>HYPERLINK("http://продеталь.рф/search.html?article=201883062B","201883062B")</f>
        <v>201883062B</v>
      </c>
      <c r="D5215" t="s">
        <v>4</v>
      </c>
    </row>
    <row r="5216" spans="1:4" outlineLevel="1" x14ac:dyDescent="0.25">
      <c r="A5216" t="s">
        <v>624</v>
      </c>
      <c r="B5216" t="s">
        <v>5</v>
      </c>
      <c r="C5216" s="1" t="str">
        <f>HYPERLINK("http://продеталь.рф/search.html?article=213701","213701")</f>
        <v>213701</v>
      </c>
      <c r="D5216" t="s">
        <v>21</v>
      </c>
    </row>
    <row r="5217" spans="1:4" outlineLevel="1" x14ac:dyDescent="0.25">
      <c r="A5217" t="s">
        <v>624</v>
      </c>
      <c r="B5217" t="s">
        <v>5</v>
      </c>
      <c r="C5217" s="1" t="str">
        <f>HYPERLINK("http://продеталь.рф/search.html?article=213702","213702")</f>
        <v>213702</v>
      </c>
      <c r="D5217" t="s">
        <v>21</v>
      </c>
    </row>
    <row r="5218" spans="1:4" outlineLevel="1" x14ac:dyDescent="0.25">
      <c r="A5218" t="s">
        <v>624</v>
      </c>
      <c r="B5218" t="s">
        <v>30</v>
      </c>
      <c r="C5218" s="1" t="str">
        <f>HYPERLINK("http://продеталь.рф/search.html?article=PRN99037CAL","PRN99037CAL")</f>
        <v>PRN99037CAL</v>
      </c>
      <c r="D5218" t="s">
        <v>6</v>
      </c>
    </row>
    <row r="5219" spans="1:4" outlineLevel="1" x14ac:dyDescent="0.25">
      <c r="A5219" t="s">
        <v>624</v>
      </c>
      <c r="B5219" t="s">
        <v>30</v>
      </c>
      <c r="C5219" s="1" t="str">
        <f>HYPERLINK("http://продеталь.рф/search.html?article=PRN99037CAR","PRN99037CAR")</f>
        <v>PRN99037CAR</v>
      </c>
      <c r="D5219" t="s">
        <v>6</v>
      </c>
    </row>
    <row r="5220" spans="1:4" outlineLevel="1" x14ac:dyDescent="0.25">
      <c r="A5220" t="s">
        <v>624</v>
      </c>
      <c r="B5220" t="s">
        <v>40</v>
      </c>
      <c r="C5220" s="1" t="str">
        <f>HYPERLINK("http://продеталь.рф/search.html?article=RN07047GA","RN07047GA")</f>
        <v>RN07047GA</v>
      </c>
      <c r="D5220" t="s">
        <v>2</v>
      </c>
    </row>
    <row r="5221" spans="1:4" outlineLevel="1" x14ac:dyDescent="0.25">
      <c r="A5221" t="s">
        <v>624</v>
      </c>
      <c r="B5221" t="s">
        <v>12</v>
      </c>
      <c r="C5221" s="1" t="str">
        <f>HYPERLINK("http://продеталь.рф/search.html?article=PRN07053GA","PRN07053GA")</f>
        <v>PRN07053GA</v>
      </c>
      <c r="D5221" t="s">
        <v>6</v>
      </c>
    </row>
    <row r="5222" spans="1:4" outlineLevel="1" x14ac:dyDescent="0.25">
      <c r="A5222" t="s">
        <v>624</v>
      </c>
      <c r="B5222" t="s">
        <v>32</v>
      </c>
      <c r="C5222" s="1" t="str">
        <f>HYPERLINK("http://продеталь.рф/search.html?article=388DAG004H","388DAG004H")</f>
        <v>388DAG004H</v>
      </c>
      <c r="D5222" t="s">
        <v>4</v>
      </c>
    </row>
    <row r="5223" spans="1:4" outlineLevel="1" x14ac:dyDescent="0.25">
      <c r="A5223" t="s">
        <v>624</v>
      </c>
      <c r="B5223" t="s">
        <v>32</v>
      </c>
      <c r="C5223" s="1" t="str">
        <f>HYPERLINK("http://продеталь.рф/search.html?article=388DAG003H","388DAG003H")</f>
        <v>388DAG003H</v>
      </c>
      <c r="D5223" t="s">
        <v>4</v>
      </c>
    </row>
    <row r="5224" spans="1:4" outlineLevel="1" x14ac:dyDescent="0.25">
      <c r="A5224" t="s">
        <v>624</v>
      </c>
      <c r="B5224" t="s">
        <v>32</v>
      </c>
      <c r="C5224" s="1" t="str">
        <f>HYPERLINK("http://продеталь.рф/search.html?article=SRNM1011CR","SRNM1011CR")</f>
        <v>SRNM1011CR</v>
      </c>
      <c r="D5224" t="s">
        <v>6</v>
      </c>
    </row>
    <row r="5225" spans="1:4" outlineLevel="1" x14ac:dyDescent="0.25">
      <c r="A5225" t="s">
        <v>624</v>
      </c>
      <c r="B5225" t="s">
        <v>32</v>
      </c>
      <c r="C5225" s="1" t="str">
        <f>HYPERLINK("http://продеталь.рф/search.html?article=SRNM1011HCL","SRNM1011HCL")</f>
        <v>SRNM1011HCL</v>
      </c>
      <c r="D5225" t="s">
        <v>6</v>
      </c>
    </row>
    <row r="5226" spans="1:4" outlineLevel="1" x14ac:dyDescent="0.25">
      <c r="A5226" t="s">
        <v>624</v>
      </c>
      <c r="B5226" t="s">
        <v>13</v>
      </c>
      <c r="C5226" s="1" t="str">
        <f>HYPERLINK("http://продеталь.рф/search.html?article=DC01000R0","DC01000R0")</f>
        <v>DC01000R0</v>
      </c>
      <c r="D5226" t="s">
        <v>9</v>
      </c>
    </row>
    <row r="5227" spans="1:4" x14ac:dyDescent="0.25">
      <c r="A5227" t="s">
        <v>625</v>
      </c>
      <c r="B5227" s="2" t="s">
        <v>625</v>
      </c>
      <c r="C5227" s="2"/>
      <c r="D5227" s="2"/>
    </row>
    <row r="5228" spans="1:4" outlineLevel="1" x14ac:dyDescent="0.25">
      <c r="A5228" t="s">
        <v>625</v>
      </c>
      <c r="B5228" t="s">
        <v>11</v>
      </c>
      <c r="C5228" s="1" t="str">
        <f>HYPERLINK("http://продеталь.рф/search.html?article=RN650000","RN650000")</f>
        <v>RN650000</v>
      </c>
      <c r="D5228" t="s">
        <v>9</v>
      </c>
    </row>
    <row r="5229" spans="1:4" outlineLevel="1" x14ac:dyDescent="0.25">
      <c r="A5229" t="s">
        <v>625</v>
      </c>
      <c r="B5229" t="s">
        <v>1</v>
      </c>
      <c r="C5229" s="1" t="str">
        <f>HYPERLINK("http://продеталь.рф/search.html?article=RN650150","RN650150")</f>
        <v>RN650150</v>
      </c>
      <c r="D5229" t="s">
        <v>9</v>
      </c>
    </row>
    <row r="5230" spans="1:4" outlineLevel="1" x14ac:dyDescent="0.25">
      <c r="A5230" t="s">
        <v>625</v>
      </c>
      <c r="B5230" t="s">
        <v>1</v>
      </c>
      <c r="C5230" s="1" t="str">
        <f>HYPERLINK("http://продеталь.рф/search.html?article=RN65101500000","RN65101500000")</f>
        <v>RN65101500000</v>
      </c>
      <c r="D5230" t="s">
        <v>9</v>
      </c>
    </row>
    <row r="5231" spans="1:4" outlineLevel="1" x14ac:dyDescent="0.25">
      <c r="A5231" t="s">
        <v>625</v>
      </c>
      <c r="B5231" t="s">
        <v>66</v>
      </c>
      <c r="C5231" s="1" t="str">
        <f>HYPERLINK("http://продеталь.рф/search.html?article=BK137","BK137")</f>
        <v>BK137</v>
      </c>
      <c r="D5231" t="s">
        <v>6</v>
      </c>
    </row>
    <row r="5232" spans="1:4" outlineLevel="1" x14ac:dyDescent="0.25">
      <c r="A5232" t="s">
        <v>625</v>
      </c>
      <c r="B5232" t="s">
        <v>66</v>
      </c>
      <c r="C5232" s="1" t="str">
        <f>HYPERLINK("http://продеталь.рф/search.html?article=BK066","BK066")</f>
        <v>BK066</v>
      </c>
      <c r="D5232" t="s">
        <v>6</v>
      </c>
    </row>
    <row r="5233" spans="1:4" x14ac:dyDescent="0.25">
      <c r="A5233" t="s">
        <v>626</v>
      </c>
      <c r="B5233" s="2" t="s">
        <v>626</v>
      </c>
      <c r="C5233" s="2"/>
      <c r="D5233" s="2"/>
    </row>
    <row r="5234" spans="1:4" outlineLevel="1" x14ac:dyDescent="0.25">
      <c r="A5234" t="s">
        <v>626</v>
      </c>
      <c r="B5234" t="s">
        <v>11</v>
      </c>
      <c r="C5234" s="1" t="str">
        <f>HYPERLINK("http://продеталь.рф/search.html?article=RM01","RM01")</f>
        <v>RM01</v>
      </c>
      <c r="D5234" t="s">
        <v>18</v>
      </c>
    </row>
    <row r="5235" spans="1:4" outlineLevel="1" x14ac:dyDescent="0.25">
      <c r="A5235" t="s">
        <v>626</v>
      </c>
      <c r="B5235" t="s">
        <v>1</v>
      </c>
      <c r="C5235" s="1" t="str">
        <f>HYPERLINK("http://продеталь.рф/search.html?article=64071001085","64071001085")</f>
        <v>64071001085</v>
      </c>
      <c r="D5235" t="s">
        <v>49</v>
      </c>
    </row>
    <row r="5236" spans="1:4" outlineLevel="1" x14ac:dyDescent="0.25">
      <c r="A5236" t="s">
        <v>626</v>
      </c>
      <c r="B5236" t="s">
        <v>24</v>
      </c>
      <c r="C5236" s="1" t="str">
        <f>HYPERLINK("http://продеталь.рф/search.html?article=64071004090","64071004090")</f>
        <v>64071004090</v>
      </c>
      <c r="D5236" t="s">
        <v>49</v>
      </c>
    </row>
    <row r="5237" spans="1:4" outlineLevel="1" x14ac:dyDescent="0.25">
      <c r="A5237" t="s">
        <v>626</v>
      </c>
      <c r="B5237" t="s">
        <v>37</v>
      </c>
      <c r="C5237" s="1" t="str">
        <f>HYPERLINK("http://продеталь.рф/search.html?article=PRN87002AL","PRN87002AL")</f>
        <v>PRN87002AL</v>
      </c>
      <c r="D5237" t="s">
        <v>6</v>
      </c>
    </row>
    <row r="5238" spans="1:4" outlineLevel="1" x14ac:dyDescent="0.25">
      <c r="A5238" t="s">
        <v>626</v>
      </c>
      <c r="B5238" t="s">
        <v>27</v>
      </c>
      <c r="C5238" s="1" t="str">
        <f>HYPERLINK("http://продеталь.рф/search.html?article=RN200090","RN200090")</f>
        <v>RN200090</v>
      </c>
      <c r="D5238" t="s">
        <v>9</v>
      </c>
    </row>
    <row r="5239" spans="1:4" outlineLevel="1" x14ac:dyDescent="0.25">
      <c r="A5239" t="s">
        <v>626</v>
      </c>
      <c r="B5239" t="s">
        <v>3</v>
      </c>
      <c r="C5239" s="1" t="str">
        <f>HYPERLINK("http://продеталь.рф/search.html?article=203691082","203691082")</f>
        <v>203691082</v>
      </c>
      <c r="D5239" t="s">
        <v>4</v>
      </c>
    </row>
    <row r="5240" spans="1:4" outlineLevel="1" x14ac:dyDescent="0.25">
      <c r="A5240" t="s">
        <v>626</v>
      </c>
      <c r="B5240" t="s">
        <v>5</v>
      </c>
      <c r="C5240" s="1" t="str">
        <f>HYPERLINK("http://продеталь.рф/search.html?article=211615A","211615A")</f>
        <v>211615A</v>
      </c>
      <c r="D5240" t="s">
        <v>21</v>
      </c>
    </row>
    <row r="5241" spans="1:4" outlineLevel="1" x14ac:dyDescent="0.25">
      <c r="A5241" t="s">
        <v>626</v>
      </c>
      <c r="B5241" t="s">
        <v>54</v>
      </c>
      <c r="C5241" s="1" t="str">
        <f>HYPERLINK("http://продеталь.рф/search.html?article=6037011","6037011")</f>
        <v>6037011</v>
      </c>
      <c r="D5241" t="s">
        <v>46</v>
      </c>
    </row>
    <row r="5242" spans="1:4" outlineLevel="1" x14ac:dyDescent="0.25">
      <c r="A5242" t="s">
        <v>626</v>
      </c>
      <c r="B5242" t="s">
        <v>627</v>
      </c>
      <c r="C5242" s="1" t="str">
        <f>HYPERLINK("http://продеталь.рф/search.html?article=ZRN2005WER","ZRN2005WER")</f>
        <v>ZRN2005WER</v>
      </c>
      <c r="D5242" t="s">
        <v>4</v>
      </c>
    </row>
    <row r="5243" spans="1:4" outlineLevel="1" x14ac:dyDescent="0.25">
      <c r="A5243" t="s">
        <v>626</v>
      </c>
      <c r="B5243" t="s">
        <v>28</v>
      </c>
      <c r="C5243" s="1" t="str">
        <f>HYPERLINK("http://продеталь.рф/search.html?article=RA63937A","RA63937A")</f>
        <v>RA63937A</v>
      </c>
      <c r="D5243" t="s">
        <v>6</v>
      </c>
    </row>
    <row r="5244" spans="1:4" outlineLevel="1" x14ac:dyDescent="0.25">
      <c r="A5244" t="s">
        <v>626</v>
      </c>
      <c r="B5244" t="s">
        <v>12</v>
      </c>
      <c r="C5244" s="1" t="str">
        <f>HYPERLINK("http://продеталь.рф/search.html?article=RN07017GAR","RN07017GAR")</f>
        <v>RN07017GAR</v>
      </c>
      <c r="D5244" t="s">
        <v>2</v>
      </c>
    </row>
    <row r="5245" spans="1:4" outlineLevel="1" x14ac:dyDescent="0.25">
      <c r="A5245" t="s">
        <v>626</v>
      </c>
      <c r="B5245" t="s">
        <v>16</v>
      </c>
      <c r="C5245" s="1" t="str">
        <f>HYPERLINK("http://продеталь.рф/search.html?article=183593052","183593052")</f>
        <v>183593052</v>
      </c>
      <c r="D5245" t="s">
        <v>4</v>
      </c>
    </row>
    <row r="5246" spans="1:4" x14ac:dyDescent="0.25">
      <c r="A5246" t="s">
        <v>628</v>
      </c>
      <c r="B5246" s="2" t="s">
        <v>628</v>
      </c>
      <c r="C5246" s="2"/>
      <c r="D5246" s="2"/>
    </row>
    <row r="5247" spans="1:4" outlineLevel="1" x14ac:dyDescent="0.25">
      <c r="A5247" t="s">
        <v>628</v>
      </c>
      <c r="B5247" t="s">
        <v>11</v>
      </c>
      <c r="C5247" s="1" t="str">
        <f>HYPERLINK("http://продеталь.рф/search.html?article=RNW1000A0","RNW1000A0")</f>
        <v>RNW1000A0</v>
      </c>
      <c r="D5247" t="s">
        <v>9</v>
      </c>
    </row>
    <row r="5248" spans="1:4" outlineLevel="1" x14ac:dyDescent="0.25">
      <c r="A5248" t="s">
        <v>628</v>
      </c>
      <c r="B5248" t="s">
        <v>15</v>
      </c>
      <c r="C5248" s="1" t="str">
        <f>HYPERLINK("http://продеталь.рф/search.html?article=3280049","3280049")</f>
        <v>3280049</v>
      </c>
      <c r="D5248" t="s">
        <v>4</v>
      </c>
    </row>
    <row r="5249" spans="1:4" outlineLevel="1" x14ac:dyDescent="0.25">
      <c r="A5249" t="s">
        <v>628</v>
      </c>
      <c r="B5249" t="s">
        <v>15</v>
      </c>
      <c r="C5249" s="1" t="str">
        <f>HYPERLINK("http://продеталь.рф/search.html?article=3280050","3280050")</f>
        <v>3280050</v>
      </c>
      <c r="D5249" t="s">
        <v>4</v>
      </c>
    </row>
    <row r="5250" spans="1:4" outlineLevel="1" x14ac:dyDescent="0.25">
      <c r="A5250" t="s">
        <v>628</v>
      </c>
      <c r="B5250" t="s">
        <v>24</v>
      </c>
      <c r="C5250" s="1" t="str">
        <f>HYPERLINK("http://продеталь.рф/search.html?article=RN10019AL","RN10019AL")</f>
        <v>RN10019AL</v>
      </c>
      <c r="D5250" t="s">
        <v>2</v>
      </c>
    </row>
    <row r="5251" spans="1:4" outlineLevel="1" x14ac:dyDescent="0.25">
      <c r="A5251" t="s">
        <v>628</v>
      </c>
      <c r="B5251" t="s">
        <v>27</v>
      </c>
      <c r="C5251" s="1" t="str">
        <f>HYPERLINK("http://продеталь.рф/search.html?article=RN20100900000","RN20100900000")</f>
        <v>RN20100900000</v>
      </c>
      <c r="D5251" t="s">
        <v>9</v>
      </c>
    </row>
    <row r="5252" spans="1:4" outlineLevel="1" x14ac:dyDescent="0.25">
      <c r="A5252" t="s">
        <v>628</v>
      </c>
      <c r="B5252" t="s">
        <v>3</v>
      </c>
      <c r="C5252" s="1" t="str">
        <f>HYPERLINK("http://продеталь.рф/search.html?article=206000052","206000052")</f>
        <v>206000052</v>
      </c>
      <c r="D5252" t="s">
        <v>4</v>
      </c>
    </row>
    <row r="5253" spans="1:4" outlineLevel="1" x14ac:dyDescent="0.25">
      <c r="A5253" t="s">
        <v>628</v>
      </c>
      <c r="B5253" t="s">
        <v>3</v>
      </c>
      <c r="C5253" s="1" t="str">
        <f>HYPERLINK("http://продеталь.рф/search.html?article=205999052","205999052")</f>
        <v>205999052</v>
      </c>
      <c r="D5253" t="s">
        <v>4</v>
      </c>
    </row>
    <row r="5254" spans="1:4" outlineLevel="1" x14ac:dyDescent="0.25">
      <c r="A5254" t="s">
        <v>628</v>
      </c>
      <c r="B5254" t="s">
        <v>3</v>
      </c>
      <c r="C5254" s="1" t="str">
        <f>HYPERLINK("http://продеталь.рф/search.html?article=205970052","205970052")</f>
        <v>205970052</v>
      </c>
      <c r="D5254" t="s">
        <v>4</v>
      </c>
    </row>
    <row r="5255" spans="1:4" outlineLevel="1" x14ac:dyDescent="0.25">
      <c r="A5255" t="s">
        <v>628</v>
      </c>
      <c r="B5255" t="s">
        <v>3</v>
      </c>
      <c r="C5255" s="1" t="str">
        <f>HYPERLINK("http://продеталь.рф/search.html?article=205969052","205969052")</f>
        <v>205969052</v>
      </c>
      <c r="D5255" t="s">
        <v>4</v>
      </c>
    </row>
    <row r="5256" spans="1:4" outlineLevel="1" x14ac:dyDescent="0.25">
      <c r="A5256" t="s">
        <v>628</v>
      </c>
      <c r="B5256" t="s">
        <v>19</v>
      </c>
      <c r="C5256" s="1" t="str">
        <f>HYPERLINK("http://продеталь.рф/search.html?article=190096052","190096052")</f>
        <v>190096052</v>
      </c>
      <c r="D5256" t="s">
        <v>4</v>
      </c>
    </row>
    <row r="5257" spans="1:4" outlineLevel="1" x14ac:dyDescent="0.25">
      <c r="A5257" t="s">
        <v>628</v>
      </c>
      <c r="B5257" t="s">
        <v>12</v>
      </c>
      <c r="C5257" s="1" t="str">
        <f>HYPERLINK("http://продеталь.рф/search.html?article=RN07025GAR","RN07025GAR")</f>
        <v>RN07025GAR</v>
      </c>
      <c r="D5257" t="s">
        <v>2</v>
      </c>
    </row>
    <row r="5258" spans="1:4" x14ac:dyDescent="0.25">
      <c r="A5258" t="s">
        <v>629</v>
      </c>
      <c r="B5258" s="2" t="s">
        <v>629</v>
      </c>
      <c r="C5258" s="2"/>
      <c r="D5258" s="2"/>
    </row>
    <row r="5259" spans="1:4" outlineLevel="1" x14ac:dyDescent="0.25">
      <c r="A5259" t="s">
        <v>629</v>
      </c>
      <c r="B5259" t="s">
        <v>15</v>
      </c>
      <c r="C5259" s="1" t="str">
        <f>HYPERLINK("http://продеталь.рф/search.html?article=3280085","3280085")</f>
        <v>3280085</v>
      </c>
      <c r="D5259" t="s">
        <v>4</v>
      </c>
    </row>
    <row r="5260" spans="1:4" outlineLevel="1" x14ac:dyDescent="0.25">
      <c r="A5260" t="s">
        <v>629</v>
      </c>
      <c r="B5260" t="s">
        <v>23</v>
      </c>
      <c r="C5260" s="1" t="str">
        <f>HYPERLINK("http://продеталь.рф/search.html?article=11A396012B","11A396012B")</f>
        <v>11A396012B</v>
      </c>
      <c r="D5260" t="s">
        <v>4</v>
      </c>
    </row>
    <row r="5261" spans="1:4" outlineLevel="1" x14ac:dyDescent="0.25">
      <c r="A5261" t="s">
        <v>629</v>
      </c>
      <c r="B5261" t="s">
        <v>240</v>
      </c>
      <c r="C5261" s="1" t="str">
        <f>HYPERLINK("http://продеталь.рф/search.html?article=RNM1020ELE","RNM1020ELE")</f>
        <v>RNM1020ELE</v>
      </c>
      <c r="D5261" t="s">
        <v>2</v>
      </c>
    </row>
    <row r="5262" spans="1:4" outlineLevel="1" x14ac:dyDescent="0.25">
      <c r="A5262" t="s">
        <v>629</v>
      </c>
      <c r="B5262" t="s">
        <v>240</v>
      </c>
      <c r="C5262" s="1" t="str">
        <f>HYPERLINK("http://продеталь.рф/search.html?article=RNM1020ERE","RNM1020ERE")</f>
        <v>RNM1020ERE</v>
      </c>
      <c r="D5262" t="s">
        <v>2</v>
      </c>
    </row>
    <row r="5263" spans="1:4" outlineLevel="1" x14ac:dyDescent="0.25">
      <c r="A5263" t="s">
        <v>629</v>
      </c>
      <c r="B5263" t="s">
        <v>66</v>
      </c>
      <c r="C5263" s="1" t="str">
        <f>HYPERLINK("http://продеталь.рф/search.html?article=BK001","BK001")</f>
        <v>BK001</v>
      </c>
      <c r="D5263" t="s">
        <v>6</v>
      </c>
    </row>
    <row r="5264" spans="1:4" outlineLevel="1" x14ac:dyDescent="0.25">
      <c r="A5264" t="s">
        <v>629</v>
      </c>
      <c r="B5264" t="s">
        <v>37</v>
      </c>
      <c r="C5264" s="1" t="str">
        <f>HYPERLINK("http://продеталь.рф/search.html?article=1409251","1409251")</f>
        <v>1409251</v>
      </c>
      <c r="D5264" t="s">
        <v>58</v>
      </c>
    </row>
    <row r="5265" spans="1:4" outlineLevel="1" x14ac:dyDescent="0.25">
      <c r="A5265" t="s">
        <v>629</v>
      </c>
      <c r="B5265" t="s">
        <v>37</v>
      </c>
      <c r="C5265" s="1" t="str">
        <f>HYPERLINK("http://продеталь.рф/search.html?article=1409252","1409252")</f>
        <v>1409252</v>
      </c>
      <c r="D5265" t="s">
        <v>58</v>
      </c>
    </row>
    <row r="5266" spans="1:4" outlineLevel="1" x14ac:dyDescent="0.25">
      <c r="A5266" t="s">
        <v>629</v>
      </c>
      <c r="B5266" t="s">
        <v>26</v>
      </c>
      <c r="C5266" s="1" t="str">
        <f>HYPERLINK("http://продеталь.рф/search.html?article=PRN04052MAL","PRN04052MAL")</f>
        <v>PRN04052MAL</v>
      </c>
      <c r="D5266" t="s">
        <v>6</v>
      </c>
    </row>
    <row r="5267" spans="1:4" outlineLevel="1" x14ac:dyDescent="0.25">
      <c r="A5267" t="s">
        <v>629</v>
      </c>
      <c r="B5267" t="s">
        <v>26</v>
      </c>
      <c r="C5267" s="1" t="str">
        <f>HYPERLINK("http://продеталь.рф/search.html?article=PRN04052MAR","PRN04052MAR")</f>
        <v>PRN04052MAR</v>
      </c>
      <c r="D5267" t="s">
        <v>6</v>
      </c>
    </row>
    <row r="5268" spans="1:4" outlineLevel="1" x14ac:dyDescent="0.25">
      <c r="A5268" t="s">
        <v>629</v>
      </c>
      <c r="B5268" t="s">
        <v>27</v>
      </c>
      <c r="C5268" s="1" t="str">
        <f>HYPERLINK("http://продеталь.рф/search.html?article=RN202009S0L00","RN202009S0L00")</f>
        <v>RN202009S0L00</v>
      </c>
      <c r="D5268" t="s">
        <v>9</v>
      </c>
    </row>
    <row r="5269" spans="1:4" outlineLevel="1" x14ac:dyDescent="0.25">
      <c r="A5269" t="s">
        <v>629</v>
      </c>
      <c r="B5269" t="s">
        <v>27</v>
      </c>
      <c r="C5269" s="1" t="str">
        <f>HYPERLINK("http://продеталь.рф/search.html?article=RN202009S0R00","RN202009S0R00")</f>
        <v>RN202009S0R00</v>
      </c>
      <c r="D5269" t="s">
        <v>9</v>
      </c>
    </row>
    <row r="5270" spans="1:4" outlineLevel="1" x14ac:dyDescent="0.25">
      <c r="A5270" t="s">
        <v>629</v>
      </c>
      <c r="B5270" t="s">
        <v>27</v>
      </c>
      <c r="C5270" s="1" t="str">
        <f>HYPERLINK("http://продеталь.рф/search.html?article=7035C","7035C")</f>
        <v>7035C</v>
      </c>
      <c r="D5270" t="s">
        <v>36</v>
      </c>
    </row>
    <row r="5271" spans="1:4" outlineLevel="1" x14ac:dyDescent="0.25">
      <c r="A5271" t="s">
        <v>629</v>
      </c>
      <c r="B5271" t="s">
        <v>3</v>
      </c>
      <c r="C5271" s="1" t="str">
        <f>HYPERLINK("http://продеталь.рф/search.html?article=201072152","201072152")</f>
        <v>201072152</v>
      </c>
      <c r="D5271" t="s">
        <v>4</v>
      </c>
    </row>
    <row r="5272" spans="1:4" outlineLevel="1" x14ac:dyDescent="0.25">
      <c r="A5272" t="s">
        <v>629</v>
      </c>
      <c r="B5272" t="s">
        <v>5</v>
      </c>
      <c r="C5272" s="1" t="str">
        <f>HYPERLINK("http://продеталь.рф/search.html?article=211645B","211645B")</f>
        <v>211645B</v>
      </c>
      <c r="D5272" t="s">
        <v>21</v>
      </c>
    </row>
    <row r="5273" spans="1:4" outlineLevel="1" x14ac:dyDescent="0.25">
      <c r="A5273" t="s">
        <v>629</v>
      </c>
      <c r="B5273" t="s">
        <v>5</v>
      </c>
      <c r="C5273" s="1" t="str">
        <f>HYPERLINK("http://продеталь.рф/search.html?article=211646B","211646B")</f>
        <v>211646B</v>
      </c>
      <c r="D5273" t="s">
        <v>21</v>
      </c>
    </row>
    <row r="5274" spans="1:4" outlineLevel="1" x14ac:dyDescent="0.25">
      <c r="A5274" t="s">
        <v>629</v>
      </c>
      <c r="B5274" t="s">
        <v>5</v>
      </c>
      <c r="C5274" s="1" t="str">
        <f>HYPERLINK("http://продеталь.рф/search.html?article=211646A","211646A")</f>
        <v>211646A</v>
      </c>
      <c r="D5274" t="s">
        <v>21</v>
      </c>
    </row>
    <row r="5275" spans="1:4" outlineLevel="1" x14ac:dyDescent="0.25">
      <c r="A5275" t="s">
        <v>629</v>
      </c>
      <c r="B5275" t="s">
        <v>5</v>
      </c>
      <c r="C5275" s="1" t="str">
        <f>HYPERLINK("http://продеталь.рф/search.html?article=211645A","211645A")</f>
        <v>211645A</v>
      </c>
      <c r="D5275" t="s">
        <v>21</v>
      </c>
    </row>
    <row r="5276" spans="1:4" outlineLevel="1" x14ac:dyDescent="0.25">
      <c r="A5276" t="s">
        <v>629</v>
      </c>
      <c r="B5276" t="s">
        <v>19</v>
      </c>
      <c r="C5276" s="1" t="str">
        <f>HYPERLINK("http://продеталь.рф/search.html?article=ZRN2007LR","ZRN2007LR")</f>
        <v>ZRN2007LR</v>
      </c>
      <c r="D5276" t="s">
        <v>6</v>
      </c>
    </row>
    <row r="5277" spans="1:4" outlineLevel="1" x14ac:dyDescent="0.25">
      <c r="A5277" t="s">
        <v>629</v>
      </c>
      <c r="B5277" t="s">
        <v>28</v>
      </c>
      <c r="C5277" s="1" t="str">
        <f>HYPERLINK("http://продеталь.рф/search.html?article=RA63764","RA63764")</f>
        <v>RA63764</v>
      </c>
      <c r="D5277" t="s">
        <v>6</v>
      </c>
    </row>
    <row r="5278" spans="1:4" outlineLevel="1" x14ac:dyDescent="0.25">
      <c r="A5278" t="s">
        <v>629</v>
      </c>
      <c r="B5278" t="s">
        <v>8</v>
      </c>
      <c r="C5278" s="1" t="str">
        <f>HYPERLINK("http://продеталь.рф/search.html?article=104626","104626")</f>
        <v>104626</v>
      </c>
      <c r="D5278" t="s">
        <v>135</v>
      </c>
    </row>
    <row r="5279" spans="1:4" outlineLevel="1" x14ac:dyDescent="0.25">
      <c r="A5279" t="s">
        <v>629</v>
      </c>
      <c r="B5279" t="s">
        <v>12</v>
      </c>
      <c r="C5279" s="1" t="str">
        <f>HYPERLINK("http://продеталь.рф/search.html?article=MG06100","MG06100")</f>
        <v>MG06100</v>
      </c>
      <c r="D5279" t="s">
        <v>18</v>
      </c>
    </row>
    <row r="5280" spans="1:4" outlineLevel="1" x14ac:dyDescent="0.25">
      <c r="A5280" t="s">
        <v>629</v>
      </c>
      <c r="B5280" t="s">
        <v>13</v>
      </c>
      <c r="C5280" s="1" t="str">
        <f>HYPERLINK("http://продеталь.рф/search.html?article=RN202000R0000","RN202000R0000")</f>
        <v>RN202000R0000</v>
      </c>
      <c r="D5280" t="s">
        <v>9</v>
      </c>
    </row>
    <row r="5281" spans="1:4" x14ac:dyDescent="0.25">
      <c r="A5281" t="s">
        <v>630</v>
      </c>
      <c r="B5281" s="2" t="s">
        <v>630</v>
      </c>
      <c r="C5281" s="2"/>
      <c r="D5281" s="2"/>
    </row>
    <row r="5282" spans="1:4" outlineLevel="1" x14ac:dyDescent="0.25">
      <c r="A5282" t="s">
        <v>630</v>
      </c>
      <c r="B5282" t="s">
        <v>11</v>
      </c>
      <c r="C5282" s="1" t="str">
        <f>HYPERLINK("http://продеталь.рф/search.html?article=RM43","RM43")</f>
        <v>RM43</v>
      </c>
      <c r="D5282" t="s">
        <v>18</v>
      </c>
    </row>
    <row r="5283" spans="1:4" outlineLevel="1" x14ac:dyDescent="0.25">
      <c r="A5283" t="s">
        <v>630</v>
      </c>
      <c r="B5283" t="s">
        <v>11</v>
      </c>
      <c r="C5283" s="1" t="str">
        <f>HYPERLINK("http://продеталь.рф/search.html?article=MG08330","MG08330")</f>
        <v>MG08330</v>
      </c>
      <c r="D5283" t="s">
        <v>18</v>
      </c>
    </row>
    <row r="5284" spans="1:4" outlineLevel="1" x14ac:dyDescent="0.25">
      <c r="A5284" t="s">
        <v>630</v>
      </c>
      <c r="B5284" t="s">
        <v>15</v>
      </c>
      <c r="C5284" s="1" t="str">
        <f>HYPERLINK("http://продеталь.рф/search.html?article=VRNM1028EL","VRNM1028EL")</f>
        <v>VRNM1028EL</v>
      </c>
      <c r="D5284" t="s">
        <v>6</v>
      </c>
    </row>
    <row r="5285" spans="1:4" outlineLevel="1" x14ac:dyDescent="0.25">
      <c r="A5285" t="s">
        <v>630</v>
      </c>
      <c r="B5285" t="s">
        <v>15</v>
      </c>
      <c r="C5285" s="1" t="str">
        <f>HYPERLINK("http://продеталь.рф/search.html?article=VRNM1028ER","VRNM1028ER")</f>
        <v>VRNM1028ER</v>
      </c>
      <c r="D5285" t="s">
        <v>6</v>
      </c>
    </row>
    <row r="5286" spans="1:4" outlineLevel="1" x14ac:dyDescent="0.25">
      <c r="A5286" t="s">
        <v>630</v>
      </c>
      <c r="B5286" t="s">
        <v>35</v>
      </c>
      <c r="C5286" s="1" t="str">
        <f>HYPERLINK("http://продеталь.рф/search.html?article=310934","310934")</f>
        <v>310934</v>
      </c>
      <c r="D5286" t="s">
        <v>21</v>
      </c>
    </row>
    <row r="5287" spans="1:4" outlineLevel="1" x14ac:dyDescent="0.25">
      <c r="A5287" t="s">
        <v>630</v>
      </c>
      <c r="B5287" t="s">
        <v>84</v>
      </c>
      <c r="C5287" s="1" t="str">
        <f>HYPERLINK("http://продеталь.рф/search.html?article=1436312","1436312")</f>
        <v>1436312</v>
      </c>
      <c r="D5287" t="s">
        <v>58</v>
      </c>
    </row>
    <row r="5288" spans="1:4" outlineLevel="1" x14ac:dyDescent="0.25">
      <c r="A5288" t="s">
        <v>630</v>
      </c>
      <c r="B5288" t="s">
        <v>84</v>
      </c>
      <c r="C5288" s="1" t="str">
        <f>HYPERLINK("http://продеталь.рф/search.html?article=1436311","1436311")</f>
        <v>1436311</v>
      </c>
      <c r="D5288" t="s">
        <v>58</v>
      </c>
    </row>
    <row r="5289" spans="1:4" outlineLevel="1" x14ac:dyDescent="0.25">
      <c r="A5289" t="s">
        <v>630</v>
      </c>
      <c r="B5289" t="s">
        <v>24</v>
      </c>
      <c r="C5289" s="1" t="str">
        <f>HYPERLINK("http://продеталь.рф/search.html?article=99D63R","99D63R")</f>
        <v>99D63R</v>
      </c>
      <c r="D5289" t="s">
        <v>36</v>
      </c>
    </row>
    <row r="5290" spans="1:4" outlineLevel="1" x14ac:dyDescent="0.25">
      <c r="A5290" t="s">
        <v>630</v>
      </c>
      <c r="B5290" t="s">
        <v>240</v>
      </c>
      <c r="C5290" s="1" t="str">
        <f>HYPERLINK("http://продеталь.рф/search.html?article=VRNM1028DR","VRNM1028DR")</f>
        <v>VRNM1028DR</v>
      </c>
      <c r="D5290" t="s">
        <v>6</v>
      </c>
    </row>
    <row r="5291" spans="1:4" outlineLevel="1" x14ac:dyDescent="0.25">
      <c r="A5291" t="s">
        <v>630</v>
      </c>
      <c r="B5291" t="s">
        <v>26</v>
      </c>
      <c r="C5291" s="1" t="str">
        <f>HYPERLINK("http://продеталь.рф/search.html?article=RN04085PAL","RN04085PAL")</f>
        <v>RN04085PAL</v>
      </c>
      <c r="D5291" t="s">
        <v>2</v>
      </c>
    </row>
    <row r="5292" spans="1:4" outlineLevel="1" x14ac:dyDescent="0.25">
      <c r="A5292" t="s">
        <v>630</v>
      </c>
      <c r="B5292" t="s">
        <v>26</v>
      </c>
      <c r="C5292" s="1" t="str">
        <f>HYPERLINK("http://продеталь.рф/search.html?article=RN203000M0R00","RN203000M0R00")</f>
        <v>RN203000M0R00</v>
      </c>
      <c r="D5292" t="s">
        <v>9</v>
      </c>
    </row>
    <row r="5293" spans="1:4" outlineLevel="1" x14ac:dyDescent="0.25">
      <c r="A5293" t="s">
        <v>630</v>
      </c>
      <c r="B5293" t="s">
        <v>27</v>
      </c>
      <c r="C5293" s="1" t="str">
        <f>HYPERLINK("http://продеталь.рф/search.html?article=PRN03007A","PRN03007A")</f>
        <v>PRN03007A</v>
      </c>
      <c r="D5293" t="s">
        <v>6</v>
      </c>
    </row>
    <row r="5294" spans="1:4" outlineLevel="1" x14ac:dyDescent="0.25">
      <c r="A5294" t="s">
        <v>630</v>
      </c>
      <c r="B5294" t="s">
        <v>3</v>
      </c>
      <c r="C5294" s="1" t="str">
        <f>HYPERLINK("http://продеталь.рф/search.html?article=20B876A52B","20B876A52B")</f>
        <v>20B876A52B</v>
      </c>
      <c r="D5294" t="s">
        <v>4</v>
      </c>
    </row>
    <row r="5295" spans="1:4" outlineLevel="1" x14ac:dyDescent="0.25">
      <c r="A5295" t="s">
        <v>630</v>
      </c>
      <c r="B5295" t="s">
        <v>3</v>
      </c>
      <c r="C5295" s="1" t="str">
        <f>HYPERLINK("http://продеталь.рф/search.html?article=20B875A52B","20B875A52B")</f>
        <v>20B875A52B</v>
      </c>
      <c r="D5295" t="s">
        <v>4</v>
      </c>
    </row>
    <row r="5296" spans="1:4" outlineLevel="1" x14ac:dyDescent="0.25">
      <c r="A5296" t="s">
        <v>630</v>
      </c>
      <c r="B5296" t="s">
        <v>3</v>
      </c>
      <c r="C5296" s="1" t="str">
        <f>HYPERLINK("http://продеталь.рф/search.html?article=20B876052B","20B876052B")</f>
        <v>20B876052B</v>
      </c>
      <c r="D5296" t="s">
        <v>4</v>
      </c>
    </row>
    <row r="5297" spans="1:4" outlineLevel="1" x14ac:dyDescent="0.25">
      <c r="A5297" t="s">
        <v>630</v>
      </c>
      <c r="B5297" t="s">
        <v>3</v>
      </c>
      <c r="C5297" s="1" t="str">
        <f>HYPERLINK("http://продеталь.рф/search.html?article=20B875052B","20B875052B")</f>
        <v>20B875052B</v>
      </c>
      <c r="D5297" t="s">
        <v>4</v>
      </c>
    </row>
    <row r="5298" spans="1:4" outlineLevel="1" x14ac:dyDescent="0.25">
      <c r="A5298" t="s">
        <v>630</v>
      </c>
      <c r="B5298" t="s">
        <v>5</v>
      </c>
      <c r="C5298" s="1" t="str">
        <f>HYPERLINK("http://продеталь.рф/search.html?article=RN11046AL","RN11046AL")</f>
        <v>RN11046AL</v>
      </c>
      <c r="D5298" t="s">
        <v>2</v>
      </c>
    </row>
    <row r="5299" spans="1:4" outlineLevel="1" x14ac:dyDescent="0.25">
      <c r="A5299" t="s">
        <v>630</v>
      </c>
      <c r="B5299" t="s">
        <v>5</v>
      </c>
      <c r="C5299" s="1" t="str">
        <f>HYPERLINK("http://продеталь.рф/search.html?article=RN11046AR","RN11046AR")</f>
        <v>RN11046AR</v>
      </c>
      <c r="D5299" t="s">
        <v>2</v>
      </c>
    </row>
    <row r="5300" spans="1:4" outlineLevel="1" x14ac:dyDescent="0.25">
      <c r="A5300" t="s">
        <v>630</v>
      </c>
      <c r="B5300" t="s">
        <v>5</v>
      </c>
      <c r="C5300" s="1" t="str">
        <f>HYPERLINK("http://продеталь.рф/search.html?article=GD5652EL","GD5652EL")</f>
        <v>GD5652EL</v>
      </c>
      <c r="D5300" t="s">
        <v>36</v>
      </c>
    </row>
    <row r="5301" spans="1:4" outlineLevel="1" x14ac:dyDescent="0.25">
      <c r="A5301" t="s">
        <v>630</v>
      </c>
      <c r="B5301" t="s">
        <v>5</v>
      </c>
      <c r="C5301" s="1" t="str">
        <f>HYPERLINK("http://продеталь.рф/search.html?article=GD5652ER","GD5652ER")</f>
        <v>GD5652ER</v>
      </c>
      <c r="D5301" t="s">
        <v>36</v>
      </c>
    </row>
    <row r="5302" spans="1:4" outlineLevel="1" x14ac:dyDescent="0.25">
      <c r="A5302" t="s">
        <v>630</v>
      </c>
      <c r="B5302" t="s">
        <v>12</v>
      </c>
      <c r="C5302" s="1" t="str">
        <f>HYPERLINK("http://продеталь.рф/search.html?article=PRN07062CA","PRN07062CA")</f>
        <v>PRN07062CA</v>
      </c>
      <c r="D5302" t="s">
        <v>6</v>
      </c>
    </row>
    <row r="5303" spans="1:4" outlineLevel="1" x14ac:dyDescent="0.25">
      <c r="A5303" t="s">
        <v>630</v>
      </c>
      <c r="B5303" t="s">
        <v>13</v>
      </c>
      <c r="C5303" s="1" t="str">
        <f>HYPERLINK("http://продеталь.рф/search.html?article=PRN44016A","PRN44016A")</f>
        <v>PRN44016A</v>
      </c>
      <c r="D5303" t="s">
        <v>6</v>
      </c>
    </row>
    <row r="5304" spans="1:4" x14ac:dyDescent="0.25">
      <c r="A5304" t="s">
        <v>631</v>
      </c>
      <c r="B5304" s="2" t="s">
        <v>631</v>
      </c>
      <c r="C5304" s="2"/>
      <c r="D5304" s="2"/>
    </row>
    <row r="5305" spans="1:4" outlineLevel="1" x14ac:dyDescent="0.25">
      <c r="A5305" t="s">
        <v>631</v>
      </c>
      <c r="B5305" t="s">
        <v>16</v>
      </c>
      <c r="C5305" s="1" t="str">
        <f>HYPERLINK("http://продеталь.рф/search.html?article=180295112","180295112")</f>
        <v>180295112</v>
      </c>
      <c r="D5305" t="s">
        <v>4</v>
      </c>
    </row>
    <row r="5306" spans="1:4" x14ac:dyDescent="0.25">
      <c r="A5306" t="s">
        <v>632</v>
      </c>
      <c r="B5306" s="2" t="s">
        <v>632</v>
      </c>
      <c r="C5306" s="2"/>
      <c r="D5306" s="2"/>
    </row>
    <row r="5307" spans="1:4" outlineLevel="1" x14ac:dyDescent="0.25">
      <c r="A5307" t="s">
        <v>632</v>
      </c>
      <c r="B5307" t="s">
        <v>11</v>
      </c>
      <c r="C5307" s="1" t="str">
        <f>HYPERLINK("http://продеталь.рф/search.html?article=PRN04074BA","PRN04074BA")</f>
        <v>PRN04074BA</v>
      </c>
      <c r="D5307" t="s">
        <v>6</v>
      </c>
    </row>
    <row r="5308" spans="1:4" outlineLevel="1" x14ac:dyDescent="0.25">
      <c r="A5308" t="s">
        <v>632</v>
      </c>
      <c r="B5308" t="s">
        <v>11</v>
      </c>
      <c r="C5308" s="1" t="str">
        <f>HYPERLINK("http://продеталь.рф/search.html?article=PRN04074BB","PRN04074BB")</f>
        <v>PRN04074BB</v>
      </c>
      <c r="D5308" t="s">
        <v>6</v>
      </c>
    </row>
    <row r="5309" spans="1:4" outlineLevel="1" x14ac:dyDescent="0.25">
      <c r="A5309" t="s">
        <v>632</v>
      </c>
      <c r="B5309" t="s">
        <v>1</v>
      </c>
      <c r="C5309" s="1" t="str">
        <f>HYPERLINK("http://продеталь.рф/search.html?article=DC31001501000","DC31001501000")</f>
        <v>DC31001501000</v>
      </c>
      <c r="D5309" t="s">
        <v>9</v>
      </c>
    </row>
    <row r="5310" spans="1:4" outlineLevel="1" x14ac:dyDescent="0.25">
      <c r="A5310" t="s">
        <v>632</v>
      </c>
      <c r="B5310" t="s">
        <v>24</v>
      </c>
      <c r="C5310" s="1" t="str">
        <f>HYPERLINK("http://продеталь.рф/search.html?article=PRN10035AL","PRN10035AL")</f>
        <v>PRN10035AL</v>
      </c>
      <c r="D5310" t="s">
        <v>6</v>
      </c>
    </row>
    <row r="5311" spans="1:4" outlineLevel="1" x14ac:dyDescent="0.25">
      <c r="A5311" t="s">
        <v>632</v>
      </c>
      <c r="B5311" t="s">
        <v>24</v>
      </c>
      <c r="C5311" s="1" t="str">
        <f>HYPERLINK("http://продеталь.рф/search.html?article=PRN10035AR","PRN10035AR")</f>
        <v>PRN10035AR</v>
      </c>
      <c r="D5311" t="s">
        <v>6</v>
      </c>
    </row>
    <row r="5312" spans="1:4" outlineLevel="1" x14ac:dyDescent="0.25">
      <c r="A5312" t="s">
        <v>632</v>
      </c>
      <c r="B5312" t="s">
        <v>27</v>
      </c>
      <c r="C5312" s="1" t="str">
        <f>HYPERLINK("http://продеталь.рф/search.html?article=RN30024A","RN30024A")</f>
        <v>RN30024A</v>
      </c>
      <c r="D5312" t="s">
        <v>2</v>
      </c>
    </row>
    <row r="5313" spans="1:4" outlineLevel="1" x14ac:dyDescent="0.25">
      <c r="A5313" t="s">
        <v>632</v>
      </c>
      <c r="B5313" t="s">
        <v>3</v>
      </c>
      <c r="C5313" s="1" t="str">
        <f>HYPERLINK("http://продеталь.рф/search.html?article=20B794062B","20B794062B")</f>
        <v>20B794062B</v>
      </c>
      <c r="D5313" t="s">
        <v>4</v>
      </c>
    </row>
    <row r="5314" spans="1:4" outlineLevel="1" x14ac:dyDescent="0.25">
      <c r="A5314" t="s">
        <v>632</v>
      </c>
      <c r="B5314" t="s">
        <v>3</v>
      </c>
      <c r="C5314" s="1" t="str">
        <f>HYPERLINK("http://продеталь.рф/search.html?article=20B793062B","20B793062B")</f>
        <v>20B793062B</v>
      </c>
      <c r="D5314" t="s">
        <v>4</v>
      </c>
    </row>
    <row r="5315" spans="1:4" outlineLevel="1" x14ac:dyDescent="0.25">
      <c r="A5315" t="s">
        <v>632</v>
      </c>
      <c r="B5315" t="s">
        <v>12</v>
      </c>
      <c r="C5315" s="1" t="str">
        <f>HYPERLINK("http://продеталь.рф/search.html?article=PRN07048GA","PRN07048GA")</f>
        <v>PRN07048GA</v>
      </c>
      <c r="D5315" t="s">
        <v>6</v>
      </c>
    </row>
    <row r="5316" spans="1:4" outlineLevel="1" x14ac:dyDescent="0.25">
      <c r="A5316" t="s">
        <v>632</v>
      </c>
      <c r="B5316" t="s">
        <v>71</v>
      </c>
      <c r="C5316" s="1" t="str">
        <f>HYPERLINK("http://продеталь.рф/search.html?article=DC31001300000","DC31001300000")</f>
        <v>DC31001300000</v>
      </c>
      <c r="D5316" t="s">
        <v>9</v>
      </c>
    </row>
    <row r="5317" spans="1:4" outlineLevel="1" x14ac:dyDescent="0.25">
      <c r="A5317" t="s">
        <v>632</v>
      </c>
      <c r="B5317" t="s">
        <v>75</v>
      </c>
      <c r="C5317" s="1" t="str">
        <f>HYPERLINK("http://продеталь.рф/search.html?article=18A656012B","18A656012B")</f>
        <v>18A656012B</v>
      </c>
      <c r="D5317" t="s">
        <v>4</v>
      </c>
    </row>
    <row r="5318" spans="1:4" outlineLevel="1" x14ac:dyDescent="0.25">
      <c r="A5318" t="s">
        <v>632</v>
      </c>
      <c r="B5318" t="s">
        <v>75</v>
      </c>
      <c r="C5318" s="1" t="str">
        <f>HYPERLINK("http://продеталь.рф/search.html?article=18A655012B","18A655012B")</f>
        <v>18A655012B</v>
      </c>
      <c r="D5318" t="s">
        <v>4</v>
      </c>
    </row>
    <row r="5319" spans="1:4" outlineLevel="1" x14ac:dyDescent="0.25">
      <c r="A5319" t="s">
        <v>632</v>
      </c>
      <c r="B5319" t="s">
        <v>13</v>
      </c>
      <c r="C5319" s="1" t="str">
        <f>HYPERLINK("http://продеталь.рф/search.html?article=PRN44017A","PRN44017A")</f>
        <v>PRN44017A</v>
      </c>
      <c r="D5319" t="s">
        <v>6</v>
      </c>
    </row>
    <row r="5320" spans="1:4" x14ac:dyDescent="0.25">
      <c r="A5320" t="s">
        <v>633</v>
      </c>
      <c r="B5320" s="2" t="s">
        <v>633</v>
      </c>
      <c r="C5320" s="2"/>
      <c r="D5320" s="2"/>
    </row>
    <row r="5321" spans="1:4" outlineLevel="1" x14ac:dyDescent="0.25">
      <c r="A5321" t="s">
        <v>633</v>
      </c>
      <c r="B5321" t="s">
        <v>11</v>
      </c>
      <c r="C5321" s="1" t="str">
        <f>HYPERLINK("http://продеталь.рф/search.html?article=RN04022BA","RN04022BA")</f>
        <v>RN04022BA</v>
      </c>
      <c r="D5321" t="s">
        <v>2</v>
      </c>
    </row>
    <row r="5322" spans="1:4" outlineLevel="1" x14ac:dyDescent="0.25">
      <c r="A5322" t="s">
        <v>633</v>
      </c>
      <c r="B5322" t="s">
        <v>1</v>
      </c>
      <c r="C5322" s="1" t="str">
        <f>HYPERLINK("http://продеталь.рф/search.html?article=RN20012A","RN20012A")</f>
        <v>RN20012A</v>
      </c>
      <c r="D5322" t="s">
        <v>2</v>
      </c>
    </row>
    <row r="5323" spans="1:4" outlineLevel="1" x14ac:dyDescent="0.25">
      <c r="A5323" t="s">
        <v>633</v>
      </c>
      <c r="B5323" t="s">
        <v>24</v>
      </c>
      <c r="C5323" s="1" t="str">
        <f>HYPERLINK("http://продеталь.рф/search.html?article=RN85001600L00","RN85001600L00")</f>
        <v>RN85001600L00</v>
      </c>
      <c r="D5323" t="s">
        <v>9</v>
      </c>
    </row>
    <row r="5324" spans="1:4" outlineLevel="1" x14ac:dyDescent="0.25">
      <c r="A5324" t="s">
        <v>633</v>
      </c>
      <c r="B5324" t="s">
        <v>37</v>
      </c>
      <c r="C5324" s="1" t="str">
        <f>HYPERLINK("http://продеталь.рф/search.html?article=PRN87003BL","PRN87003BL")</f>
        <v>PRN87003BL</v>
      </c>
      <c r="D5324" t="s">
        <v>6</v>
      </c>
    </row>
    <row r="5325" spans="1:4" outlineLevel="1" x14ac:dyDescent="0.25">
      <c r="A5325" t="s">
        <v>633</v>
      </c>
      <c r="B5325" t="s">
        <v>5</v>
      </c>
      <c r="C5325" s="1" t="str">
        <f>HYPERLINK("http://продеталь.рф/search.html?article=211624B","211624B")</f>
        <v>211624B</v>
      </c>
      <c r="D5325" t="s">
        <v>21</v>
      </c>
    </row>
    <row r="5326" spans="1:4" outlineLevel="1" x14ac:dyDescent="0.25">
      <c r="A5326" t="s">
        <v>633</v>
      </c>
      <c r="B5326" t="s">
        <v>5</v>
      </c>
      <c r="C5326" s="1" t="str">
        <f>HYPERLINK("http://продеталь.рф/search.html?article=211624A","211624A")</f>
        <v>211624A</v>
      </c>
      <c r="D5326" t="s">
        <v>21</v>
      </c>
    </row>
    <row r="5327" spans="1:4" outlineLevel="1" x14ac:dyDescent="0.25">
      <c r="A5327" t="s">
        <v>633</v>
      </c>
      <c r="B5327" t="s">
        <v>5</v>
      </c>
      <c r="C5327" s="1" t="str">
        <f>HYPERLINK("http://продеталь.рф/search.html?article=211623A","211623A")</f>
        <v>211623A</v>
      </c>
      <c r="D5327" t="s">
        <v>21</v>
      </c>
    </row>
    <row r="5328" spans="1:4" outlineLevel="1" x14ac:dyDescent="0.25">
      <c r="A5328" t="s">
        <v>633</v>
      </c>
      <c r="B5328" t="s">
        <v>54</v>
      </c>
      <c r="C5328" s="1" t="str">
        <f>HYPERLINK("http://продеталь.рф/search.html?article=6038012","6038012")</f>
        <v>6038012</v>
      </c>
      <c r="D5328" t="s">
        <v>46</v>
      </c>
    </row>
    <row r="5329" spans="1:4" x14ac:dyDescent="0.25">
      <c r="A5329" t="s">
        <v>634</v>
      </c>
      <c r="B5329" s="2" t="s">
        <v>634</v>
      </c>
      <c r="C5329" s="2"/>
      <c r="D5329" s="2"/>
    </row>
    <row r="5330" spans="1:4" outlineLevel="1" x14ac:dyDescent="0.25">
      <c r="A5330" t="s">
        <v>634</v>
      </c>
      <c r="B5330" t="s">
        <v>11</v>
      </c>
      <c r="C5330" s="1" t="str">
        <f>HYPERLINK("http://продеталь.рф/search.html?article=RN04034BA","RN04034BA")</f>
        <v>RN04034BA</v>
      </c>
      <c r="D5330" t="s">
        <v>2</v>
      </c>
    </row>
    <row r="5331" spans="1:4" outlineLevel="1" x14ac:dyDescent="0.25">
      <c r="A5331" t="s">
        <v>634</v>
      </c>
      <c r="B5331" t="s">
        <v>15</v>
      </c>
      <c r="C5331" s="1" t="str">
        <f>HYPERLINK("http://продеталь.рф/search.html?article=3280065","3280065")</f>
        <v>3280065</v>
      </c>
      <c r="D5331" t="s">
        <v>4</v>
      </c>
    </row>
    <row r="5332" spans="1:4" outlineLevel="1" x14ac:dyDescent="0.25">
      <c r="A5332" t="s">
        <v>634</v>
      </c>
      <c r="B5332" t="s">
        <v>23</v>
      </c>
      <c r="C5332" s="1" t="str">
        <f>HYPERLINK("http://продеталь.рф/search.html?article=110252012","110252012")</f>
        <v>110252012</v>
      </c>
      <c r="D5332" t="s">
        <v>4</v>
      </c>
    </row>
    <row r="5333" spans="1:4" outlineLevel="1" x14ac:dyDescent="0.25">
      <c r="A5333" t="s">
        <v>634</v>
      </c>
      <c r="B5333" t="s">
        <v>23</v>
      </c>
      <c r="C5333" s="1" t="str">
        <f>HYPERLINK("http://продеталь.рф/search.html?article=110251012","110251012")</f>
        <v>110251012</v>
      </c>
      <c r="D5333" t="s">
        <v>4</v>
      </c>
    </row>
    <row r="5334" spans="1:4" outlineLevel="1" x14ac:dyDescent="0.25">
      <c r="A5334" t="s">
        <v>634</v>
      </c>
      <c r="B5334" t="s">
        <v>160</v>
      </c>
      <c r="C5334" s="1" t="str">
        <f>HYPERLINK("http://продеталь.рф/search.html?article=310924","310924")</f>
        <v>310924</v>
      </c>
      <c r="D5334" t="s">
        <v>21</v>
      </c>
    </row>
    <row r="5335" spans="1:4" outlineLevel="1" x14ac:dyDescent="0.25">
      <c r="A5335" t="s">
        <v>634</v>
      </c>
      <c r="B5335" t="s">
        <v>24</v>
      </c>
      <c r="C5335" s="1" t="str">
        <f>HYPERLINK("http://продеталь.рф/search.html?article=RN860161","RN860161")</f>
        <v>RN860161</v>
      </c>
      <c r="D5335" t="s">
        <v>9</v>
      </c>
    </row>
    <row r="5336" spans="1:4" outlineLevel="1" x14ac:dyDescent="0.25">
      <c r="A5336" t="s">
        <v>634</v>
      </c>
      <c r="B5336" t="s">
        <v>24</v>
      </c>
      <c r="C5336" s="1" t="str">
        <f>HYPERLINK("http://продеталь.рф/search.html?article=RN860162","RN860162")</f>
        <v>RN860162</v>
      </c>
      <c r="D5336" t="s">
        <v>9</v>
      </c>
    </row>
    <row r="5337" spans="1:4" outlineLevel="1" x14ac:dyDescent="0.25">
      <c r="A5337" t="s">
        <v>634</v>
      </c>
      <c r="B5337" t="s">
        <v>27</v>
      </c>
      <c r="C5337" s="1" t="str">
        <f>HYPERLINK("http://продеталь.рф/search.html?article=RN30001A","RN30001A")</f>
        <v>RN30001A</v>
      </c>
      <c r="D5337" t="s">
        <v>2</v>
      </c>
    </row>
    <row r="5338" spans="1:4" outlineLevel="1" x14ac:dyDescent="0.25">
      <c r="A5338" t="s">
        <v>634</v>
      </c>
      <c r="B5338" t="s">
        <v>3</v>
      </c>
      <c r="C5338" s="1" t="str">
        <f>HYPERLINK("http://продеталь.рф/search.html?article=205974152","205974152")</f>
        <v>205974152</v>
      </c>
      <c r="D5338" t="s">
        <v>4</v>
      </c>
    </row>
    <row r="5339" spans="1:4" outlineLevel="1" x14ac:dyDescent="0.25">
      <c r="A5339" t="s">
        <v>634</v>
      </c>
      <c r="B5339" t="s">
        <v>3</v>
      </c>
      <c r="C5339" s="1" t="str">
        <f>HYPERLINK("http://продеталь.рф/search.html?article=205973152","205973152")</f>
        <v>205973152</v>
      </c>
      <c r="D5339" t="s">
        <v>4</v>
      </c>
    </row>
    <row r="5340" spans="1:4" outlineLevel="1" x14ac:dyDescent="0.25">
      <c r="A5340" t="s">
        <v>634</v>
      </c>
      <c r="B5340" t="s">
        <v>5</v>
      </c>
      <c r="C5340" s="1" t="str">
        <f>HYPERLINK("http://продеталь.рф/search.html?article=211657A","211657A")</f>
        <v>211657A</v>
      </c>
      <c r="D5340" t="s">
        <v>21</v>
      </c>
    </row>
    <row r="5341" spans="1:4" outlineLevel="1" x14ac:dyDescent="0.25">
      <c r="A5341" t="s">
        <v>634</v>
      </c>
      <c r="B5341" t="s">
        <v>12</v>
      </c>
      <c r="C5341" s="1" t="str">
        <f>HYPERLINK("http://продеталь.рф/search.html?article=RN07026GAR","RN07026GAR")</f>
        <v>RN07026GAR</v>
      </c>
      <c r="D5341" t="s">
        <v>2</v>
      </c>
    </row>
    <row r="5342" spans="1:4" x14ac:dyDescent="0.25">
      <c r="A5342" t="s">
        <v>635</v>
      </c>
      <c r="B5342" s="2" t="s">
        <v>635</v>
      </c>
      <c r="C5342" s="2"/>
      <c r="D5342" s="2"/>
    </row>
    <row r="5343" spans="1:4" outlineLevel="1" x14ac:dyDescent="0.25">
      <c r="A5343" t="s">
        <v>635</v>
      </c>
      <c r="B5343" t="s">
        <v>160</v>
      </c>
      <c r="C5343" s="1" t="str">
        <f>HYPERLINK("http://продеталь.рф/search.html?article=RN87013R0","RN87013R0")</f>
        <v>RN87013R0</v>
      </c>
      <c r="D5343" t="s">
        <v>9</v>
      </c>
    </row>
    <row r="5344" spans="1:4" outlineLevel="1" x14ac:dyDescent="0.25">
      <c r="A5344" t="s">
        <v>635</v>
      </c>
      <c r="B5344" t="s">
        <v>1</v>
      </c>
      <c r="C5344" s="1" t="str">
        <f>HYPERLINK("http://продеталь.рф/search.html?article=RN870150","RN870150")</f>
        <v>RN870150</v>
      </c>
      <c r="D5344" t="s">
        <v>9</v>
      </c>
    </row>
    <row r="5345" spans="1:4" outlineLevel="1" x14ac:dyDescent="0.25">
      <c r="A5345" t="s">
        <v>635</v>
      </c>
      <c r="B5345" t="s">
        <v>103</v>
      </c>
      <c r="C5345" s="1" t="str">
        <f>HYPERLINK("http://продеталь.рф/search.html?article=PRN99036CA","PRN99036CA")</f>
        <v>PRN99036CA</v>
      </c>
      <c r="D5345" t="s">
        <v>6</v>
      </c>
    </row>
    <row r="5346" spans="1:4" outlineLevel="1" x14ac:dyDescent="0.25">
      <c r="A5346" t="s">
        <v>635</v>
      </c>
      <c r="B5346" t="s">
        <v>26</v>
      </c>
      <c r="C5346" s="1" t="str">
        <f>HYPERLINK("http://продеталь.рф/search.html?article=RN870000M2000","RN870000M2000")</f>
        <v>RN870000M2000</v>
      </c>
      <c r="D5346" t="s">
        <v>9</v>
      </c>
    </row>
    <row r="5347" spans="1:4" outlineLevel="1" x14ac:dyDescent="0.25">
      <c r="A5347" t="s">
        <v>635</v>
      </c>
      <c r="B5347" t="s">
        <v>27</v>
      </c>
      <c r="C5347" s="1" t="str">
        <f>HYPERLINK("http://продеталь.рф/search.html?article=PRN30004AU","PRN30004AU")</f>
        <v>PRN30004AU</v>
      </c>
      <c r="D5347" t="s">
        <v>6</v>
      </c>
    </row>
    <row r="5348" spans="1:4" outlineLevel="1" x14ac:dyDescent="0.25">
      <c r="A5348" t="s">
        <v>635</v>
      </c>
      <c r="B5348" t="s">
        <v>636</v>
      </c>
      <c r="C5348" s="1" t="str">
        <f>HYPERLINK("http://продеталь.рф/search.html?article=RN870030","RN870030")</f>
        <v>RN870030</v>
      </c>
      <c r="D5348" t="s">
        <v>9</v>
      </c>
    </row>
    <row r="5349" spans="1:4" outlineLevel="1" x14ac:dyDescent="0.25">
      <c r="A5349" t="s">
        <v>635</v>
      </c>
      <c r="B5349" t="s">
        <v>5</v>
      </c>
      <c r="C5349" s="1" t="str">
        <f>HYPERLINK("http://продеталь.рф/search.html?article=211647A","211647A")</f>
        <v>211647A</v>
      </c>
      <c r="D5349" t="s">
        <v>21</v>
      </c>
    </row>
    <row r="5350" spans="1:4" outlineLevel="1" x14ac:dyDescent="0.25">
      <c r="A5350" t="s">
        <v>635</v>
      </c>
      <c r="B5350" t="s">
        <v>5</v>
      </c>
      <c r="C5350" s="1" t="str">
        <f>HYPERLINK("http://продеталь.рф/search.html?article=211648A","211648A")</f>
        <v>211648A</v>
      </c>
      <c r="D5350" t="s">
        <v>21</v>
      </c>
    </row>
    <row r="5351" spans="1:4" outlineLevel="1" x14ac:dyDescent="0.25">
      <c r="A5351" t="s">
        <v>635</v>
      </c>
      <c r="B5351" t="s">
        <v>5</v>
      </c>
      <c r="C5351" s="1" t="str">
        <f>HYPERLINK("http://продеталь.рф/search.html?article=211647B","211647B")</f>
        <v>211647B</v>
      </c>
      <c r="D5351" t="s">
        <v>21</v>
      </c>
    </row>
    <row r="5352" spans="1:4" outlineLevel="1" x14ac:dyDescent="0.25">
      <c r="A5352" t="s">
        <v>635</v>
      </c>
      <c r="B5352" t="s">
        <v>5</v>
      </c>
      <c r="C5352" s="1" t="str">
        <f>HYPERLINK("http://продеталь.рф/search.html?article=211648B","211648B")</f>
        <v>211648B</v>
      </c>
      <c r="D5352" t="s">
        <v>21</v>
      </c>
    </row>
    <row r="5353" spans="1:4" outlineLevel="1" x14ac:dyDescent="0.25">
      <c r="A5353" t="s">
        <v>635</v>
      </c>
      <c r="B5353" t="s">
        <v>12</v>
      </c>
      <c r="C5353" s="1" t="str">
        <f>HYPERLINK("http://продеталь.рф/search.html?article=RN07034GAL","RN07034GAL")</f>
        <v>RN07034GAL</v>
      </c>
      <c r="D5353" t="s">
        <v>2</v>
      </c>
    </row>
    <row r="5354" spans="1:4" outlineLevel="1" x14ac:dyDescent="0.25">
      <c r="A5354" t="s">
        <v>635</v>
      </c>
      <c r="B5354" t="s">
        <v>12</v>
      </c>
      <c r="C5354" s="1" t="str">
        <f>HYPERLINK("http://продеталь.рф/search.html?article=RN07034GAR","RN07034GAR")</f>
        <v>RN07034GAR</v>
      </c>
      <c r="D5354" t="s">
        <v>2</v>
      </c>
    </row>
    <row r="5355" spans="1:4" outlineLevel="1" x14ac:dyDescent="0.25">
      <c r="A5355" t="s">
        <v>635</v>
      </c>
      <c r="B5355" t="s">
        <v>12</v>
      </c>
      <c r="C5355" s="1" t="str">
        <f>HYPERLINK("http://продеталь.рф/search.html?article=4645D","4645D")</f>
        <v>4645D</v>
      </c>
      <c r="D5355" t="s">
        <v>36</v>
      </c>
    </row>
    <row r="5356" spans="1:4" x14ac:dyDescent="0.25">
      <c r="A5356" t="s">
        <v>637</v>
      </c>
      <c r="B5356" s="2" t="s">
        <v>637</v>
      </c>
      <c r="C5356" s="2"/>
      <c r="D5356" s="2"/>
    </row>
    <row r="5357" spans="1:4" outlineLevel="1" x14ac:dyDescent="0.25">
      <c r="A5357" t="s">
        <v>637</v>
      </c>
      <c r="B5357" t="s">
        <v>11</v>
      </c>
      <c r="C5357" s="1" t="str">
        <f>HYPERLINK("http://продеталь.рф/search.html?article=PRN04082BA","PRN04082BA")</f>
        <v>PRN04082BA</v>
      </c>
      <c r="D5357" t="s">
        <v>6</v>
      </c>
    </row>
    <row r="5358" spans="1:4" outlineLevel="1" x14ac:dyDescent="0.25">
      <c r="A5358" t="s">
        <v>637</v>
      </c>
      <c r="B5358" t="s">
        <v>1</v>
      </c>
      <c r="C5358" s="1" t="str">
        <f>HYPERLINK("http://продеталь.рф/search.html?article=RN20030A","RN20030A")</f>
        <v>RN20030A</v>
      </c>
      <c r="D5358" t="s">
        <v>2</v>
      </c>
    </row>
    <row r="5359" spans="1:4" outlineLevel="1" x14ac:dyDescent="0.25">
      <c r="A5359" t="s">
        <v>637</v>
      </c>
      <c r="B5359" t="s">
        <v>51</v>
      </c>
      <c r="C5359" s="1" t="str">
        <f>HYPERLINK("http://продеталь.рф/search.html?article=RN34017A","RN34017A")</f>
        <v>RN34017A</v>
      </c>
      <c r="D5359" t="s">
        <v>2</v>
      </c>
    </row>
    <row r="5360" spans="1:4" outlineLevel="1" x14ac:dyDescent="0.25">
      <c r="A5360" t="s">
        <v>637</v>
      </c>
      <c r="B5360" t="s">
        <v>27</v>
      </c>
      <c r="C5360" s="1" t="str">
        <f>HYPERLINK("http://продеталь.рф/search.html?article=PRN30028A","PRN30028A")</f>
        <v>PRN30028A</v>
      </c>
      <c r="D5360" t="s">
        <v>6</v>
      </c>
    </row>
    <row r="5361" spans="1:4" outlineLevel="1" x14ac:dyDescent="0.25">
      <c r="A5361" t="s">
        <v>637</v>
      </c>
      <c r="B5361" t="s">
        <v>3</v>
      </c>
      <c r="C5361" s="1" t="str">
        <f>HYPERLINK("http://продеталь.рф/search.html?article=20C180052B","20C180052B")</f>
        <v>20C180052B</v>
      </c>
      <c r="D5361" t="s">
        <v>4</v>
      </c>
    </row>
    <row r="5362" spans="1:4" outlineLevel="1" x14ac:dyDescent="0.25">
      <c r="A5362" t="s">
        <v>637</v>
      </c>
      <c r="B5362" t="s">
        <v>3</v>
      </c>
      <c r="C5362" s="1" t="str">
        <f>HYPERLINK("http://продеталь.рф/search.html?article=20C179052B","20C179052B")</f>
        <v>20C179052B</v>
      </c>
      <c r="D5362" t="s">
        <v>4</v>
      </c>
    </row>
    <row r="5363" spans="1:4" outlineLevel="1" x14ac:dyDescent="0.25">
      <c r="A5363" t="s">
        <v>637</v>
      </c>
      <c r="B5363" t="s">
        <v>40</v>
      </c>
      <c r="C5363" s="1" t="str">
        <f>HYPERLINK("http://продеталь.рф/search.html?article=REN07CL046","REN07CL046")</f>
        <v>REN07CL046</v>
      </c>
      <c r="D5363" t="s">
        <v>182</v>
      </c>
    </row>
    <row r="5364" spans="1:4" outlineLevel="1" x14ac:dyDescent="0.25">
      <c r="A5364" t="s">
        <v>637</v>
      </c>
      <c r="B5364" t="s">
        <v>40</v>
      </c>
      <c r="C5364" s="1" t="str">
        <f>HYPERLINK("http://продеталь.рф/search.html?article=312RN0070","312RN0070")</f>
        <v>312RN0070</v>
      </c>
      <c r="D5364" t="s">
        <v>4</v>
      </c>
    </row>
    <row r="5365" spans="1:4" outlineLevel="1" x14ac:dyDescent="0.25">
      <c r="A5365" t="s">
        <v>637</v>
      </c>
      <c r="B5365" t="s">
        <v>12</v>
      </c>
      <c r="C5365" s="1" t="str">
        <f>HYPERLINK("http://продеталь.рф/search.html?article=312RN0056","312RN0056")</f>
        <v>312RN0056</v>
      </c>
      <c r="D5365" t="s">
        <v>4</v>
      </c>
    </row>
    <row r="5366" spans="1:4" x14ac:dyDescent="0.25">
      <c r="A5366" t="s">
        <v>638</v>
      </c>
      <c r="B5366" s="2" t="s">
        <v>638</v>
      </c>
      <c r="C5366" s="2"/>
      <c r="D5366" s="2"/>
    </row>
    <row r="5367" spans="1:4" outlineLevel="1" x14ac:dyDescent="0.25">
      <c r="A5367" t="s">
        <v>638</v>
      </c>
      <c r="B5367" t="s">
        <v>3</v>
      </c>
      <c r="C5367" s="1" t="str">
        <f>HYPERLINK("http://продеталь.рф/search.html?article=20B099A52B","20B099A52B")</f>
        <v>20B099A52B</v>
      </c>
      <c r="D5367" t="s">
        <v>4</v>
      </c>
    </row>
    <row r="5368" spans="1:4" outlineLevel="1" x14ac:dyDescent="0.25">
      <c r="A5368" t="s">
        <v>638</v>
      </c>
      <c r="B5368" t="s">
        <v>5</v>
      </c>
      <c r="C5368" s="1" t="str">
        <f>HYPERLINK("http://продеталь.рф/search.html?article=RN11045AR","RN11045AR")</f>
        <v>RN11045AR</v>
      </c>
      <c r="D5368" t="s">
        <v>2</v>
      </c>
    </row>
    <row r="5369" spans="1:4" outlineLevel="1" x14ac:dyDescent="0.25">
      <c r="A5369" t="s">
        <v>638</v>
      </c>
      <c r="B5369" t="s">
        <v>5</v>
      </c>
      <c r="C5369" s="1" t="str">
        <f>HYPERLINK("http://продеталь.рф/search.html?article=RN11045AL","RN11045AL")</f>
        <v>RN11045AL</v>
      </c>
      <c r="D5369" t="s">
        <v>2</v>
      </c>
    </row>
    <row r="5370" spans="1:4" outlineLevel="1" x14ac:dyDescent="0.25">
      <c r="A5370" t="s">
        <v>638</v>
      </c>
      <c r="B5370" t="s">
        <v>19</v>
      </c>
      <c r="C5370" s="1" t="str">
        <f>HYPERLINK("http://продеталь.рф/search.html?article=ZRN1304R","ZRN1304R")</f>
        <v>ZRN1304R</v>
      </c>
      <c r="D5370" t="s">
        <v>6</v>
      </c>
    </row>
    <row r="5371" spans="1:4" outlineLevel="1" x14ac:dyDescent="0.25">
      <c r="A5371" t="s">
        <v>638</v>
      </c>
      <c r="B5371" t="s">
        <v>16</v>
      </c>
      <c r="C5371" s="1" t="str">
        <f>HYPERLINK("http://продеталь.рф/search.html?article=180372112","180372112")</f>
        <v>180372112</v>
      </c>
      <c r="D5371" t="s">
        <v>4</v>
      </c>
    </row>
    <row r="5372" spans="1:4" outlineLevel="1" x14ac:dyDescent="0.25">
      <c r="A5372" t="s">
        <v>638</v>
      </c>
      <c r="B5372" t="s">
        <v>16</v>
      </c>
      <c r="C5372" s="1" t="str">
        <f>HYPERLINK("http://продеталь.рф/search.html?article=180371012","180371012")</f>
        <v>180371012</v>
      </c>
      <c r="D5372" t="s">
        <v>4</v>
      </c>
    </row>
    <row r="5373" spans="1:4" x14ac:dyDescent="0.25">
      <c r="A5373" t="s">
        <v>639</v>
      </c>
      <c r="B5373" s="2" t="s">
        <v>639</v>
      </c>
      <c r="C5373" s="2"/>
      <c r="D5373" s="2"/>
    </row>
    <row r="5374" spans="1:4" outlineLevel="1" x14ac:dyDescent="0.25">
      <c r="A5374" t="s">
        <v>639</v>
      </c>
      <c r="B5374" t="s">
        <v>11</v>
      </c>
      <c r="C5374" s="1" t="str">
        <f>HYPERLINK("http://продеталь.рф/search.html?article=23560","23560")</f>
        <v>23560</v>
      </c>
      <c r="D5374" t="s">
        <v>163</v>
      </c>
    </row>
    <row r="5375" spans="1:4" outlineLevel="1" x14ac:dyDescent="0.25">
      <c r="A5375" t="s">
        <v>639</v>
      </c>
      <c r="B5375" t="s">
        <v>11</v>
      </c>
      <c r="C5375" s="1" t="str">
        <f>HYPERLINK("http://продеталь.рф/search.html?article=RN04044BA","RN04044BA")</f>
        <v>RN04044BA</v>
      </c>
      <c r="D5375" t="s">
        <v>2</v>
      </c>
    </row>
    <row r="5376" spans="1:4" outlineLevel="1" x14ac:dyDescent="0.25">
      <c r="A5376" t="s">
        <v>639</v>
      </c>
      <c r="B5376" t="s">
        <v>5</v>
      </c>
      <c r="C5376" s="1" t="str">
        <f>HYPERLINK("http://продеталь.рф/search.html?article=211649","211649")</f>
        <v>211649</v>
      </c>
      <c r="D5376" t="s">
        <v>21</v>
      </c>
    </row>
    <row r="5377" spans="1:4" outlineLevel="1" x14ac:dyDescent="0.25">
      <c r="A5377" t="s">
        <v>639</v>
      </c>
      <c r="B5377" t="s">
        <v>5</v>
      </c>
      <c r="C5377" s="1" t="str">
        <f>HYPERLINK("http://продеталь.рф/search.html?article=211650","211650")</f>
        <v>211650</v>
      </c>
      <c r="D5377" t="s">
        <v>21</v>
      </c>
    </row>
    <row r="5378" spans="1:4" x14ac:dyDescent="0.25">
      <c r="A5378" t="s">
        <v>640</v>
      </c>
      <c r="B5378" s="2" t="s">
        <v>640</v>
      </c>
      <c r="C5378" s="2"/>
      <c r="D5378" s="2"/>
    </row>
    <row r="5379" spans="1:4" outlineLevel="1" x14ac:dyDescent="0.25">
      <c r="A5379" t="s">
        <v>640</v>
      </c>
      <c r="B5379" t="s">
        <v>66</v>
      </c>
      <c r="C5379" s="1" t="str">
        <f>HYPERLINK("http://продеталь.рф/search.html?article=BK129","BK129")</f>
        <v>BK129</v>
      </c>
      <c r="D5379" t="s">
        <v>6</v>
      </c>
    </row>
    <row r="5380" spans="1:4" x14ac:dyDescent="0.25">
      <c r="A5380" t="s">
        <v>641</v>
      </c>
      <c r="B5380" s="2" t="s">
        <v>641</v>
      </c>
      <c r="C5380" s="2"/>
      <c r="D5380" s="2"/>
    </row>
    <row r="5381" spans="1:4" outlineLevel="1" x14ac:dyDescent="0.25">
      <c r="A5381" t="s">
        <v>641</v>
      </c>
      <c r="B5381" t="s">
        <v>15</v>
      </c>
      <c r="C5381" s="1" t="str">
        <f>HYPERLINK("http://продеталь.рф/search.html?article=VATM1005HL","VATM1005HL")</f>
        <v>VATM1005HL</v>
      </c>
      <c r="D5381" t="s">
        <v>6</v>
      </c>
    </row>
    <row r="5382" spans="1:4" outlineLevel="1" x14ac:dyDescent="0.25">
      <c r="A5382" t="s">
        <v>641</v>
      </c>
      <c r="B5382" t="s">
        <v>15</v>
      </c>
      <c r="C5382" s="1" t="str">
        <f>HYPERLINK("http://продеталь.рф/search.html?article=VATM1005HR","VATM1005HR")</f>
        <v>VATM1005HR</v>
      </c>
      <c r="D5382" t="s">
        <v>6</v>
      </c>
    </row>
    <row r="5383" spans="1:4" outlineLevel="1" x14ac:dyDescent="0.25">
      <c r="A5383" t="s">
        <v>641</v>
      </c>
      <c r="B5383" t="s">
        <v>16</v>
      </c>
      <c r="C5383" s="1" t="str">
        <f>HYPERLINK("http://продеталь.рф/search.html?article=ZAT1502L","ZAT1502L")</f>
        <v>ZAT1502L</v>
      </c>
      <c r="D5383" t="s">
        <v>6</v>
      </c>
    </row>
    <row r="5384" spans="1:4" outlineLevel="1" x14ac:dyDescent="0.25">
      <c r="A5384" t="s">
        <v>641</v>
      </c>
      <c r="B5384" t="s">
        <v>16</v>
      </c>
      <c r="C5384" s="1" t="str">
        <f>HYPERLINK("http://продеталь.рф/search.html?article=ZAT1502R","ZAT1502R")</f>
        <v>ZAT1502R</v>
      </c>
      <c r="D5384" t="s">
        <v>6</v>
      </c>
    </row>
    <row r="5385" spans="1:4" x14ac:dyDescent="0.25">
      <c r="A5385" t="s">
        <v>642</v>
      </c>
      <c r="B5385" s="2" t="s">
        <v>642</v>
      </c>
      <c r="C5385" s="2"/>
      <c r="D5385" s="2"/>
    </row>
    <row r="5386" spans="1:4" outlineLevel="1" x14ac:dyDescent="0.25">
      <c r="A5386" t="s">
        <v>642</v>
      </c>
      <c r="B5386" t="s">
        <v>11</v>
      </c>
      <c r="C5386" s="1" t="str">
        <f>HYPERLINK("http://продеталь.рф/search.html?article=RV24000000000","RV24000000000")</f>
        <v>RV24000000000</v>
      </c>
      <c r="D5386" t="s">
        <v>9</v>
      </c>
    </row>
    <row r="5387" spans="1:4" outlineLevel="1" x14ac:dyDescent="0.25">
      <c r="A5387" t="s">
        <v>642</v>
      </c>
      <c r="B5387" t="s">
        <v>15</v>
      </c>
      <c r="C5387" s="1" t="str">
        <f>HYPERLINK("http://продеталь.рф/search.html?article=3290014","3290014")</f>
        <v>3290014</v>
      </c>
      <c r="D5387" t="s">
        <v>4</v>
      </c>
    </row>
    <row r="5388" spans="1:4" outlineLevel="1" x14ac:dyDescent="0.25">
      <c r="A5388" t="s">
        <v>642</v>
      </c>
      <c r="B5388" t="s">
        <v>24</v>
      </c>
      <c r="C5388" s="1" t="str">
        <f>HYPERLINK("http://продеталь.рф/search.html?article=AT10013AR","AT10013AR")</f>
        <v>AT10013AR</v>
      </c>
      <c r="D5388" t="s">
        <v>2</v>
      </c>
    </row>
    <row r="5389" spans="1:4" x14ac:dyDescent="0.25">
      <c r="A5389" t="s">
        <v>643</v>
      </c>
      <c r="B5389" s="2" t="s">
        <v>643</v>
      </c>
      <c r="C5389" s="2"/>
      <c r="D5389" s="2"/>
    </row>
    <row r="5390" spans="1:4" outlineLevel="1" x14ac:dyDescent="0.25">
      <c r="A5390" t="s">
        <v>643</v>
      </c>
      <c r="B5390" t="s">
        <v>1</v>
      </c>
      <c r="C5390" s="1" t="str">
        <f>HYPERLINK("http://продеталь.рф/search.html?article=RV250150","RV250150")</f>
        <v>RV250150</v>
      </c>
      <c r="D5390" t="s">
        <v>9</v>
      </c>
    </row>
    <row r="5391" spans="1:4" outlineLevel="1" x14ac:dyDescent="0.25">
      <c r="A5391" t="s">
        <v>643</v>
      </c>
      <c r="B5391" t="s">
        <v>12</v>
      </c>
      <c r="C5391" s="1" t="str">
        <f>HYPERLINK("http://продеталь.рф/search.html?article=AT07014GA","AT07014GA")</f>
        <v>AT07014GA</v>
      </c>
      <c r="D5391" t="s">
        <v>2</v>
      </c>
    </row>
    <row r="5392" spans="1:4" x14ac:dyDescent="0.25">
      <c r="A5392" t="s">
        <v>644</v>
      </c>
      <c r="B5392" s="2" t="s">
        <v>644</v>
      </c>
      <c r="C5392" s="2"/>
      <c r="D5392" s="2"/>
    </row>
    <row r="5393" spans="1:4" outlineLevel="1" x14ac:dyDescent="0.25">
      <c r="A5393" t="s">
        <v>644</v>
      </c>
      <c r="B5393" t="s">
        <v>24</v>
      </c>
      <c r="C5393" s="1" t="str">
        <f>HYPERLINK("http://продеталь.рф/search.html?article=AT10014AL","AT10014AL")</f>
        <v>AT10014AL</v>
      </c>
      <c r="D5393" t="s">
        <v>2</v>
      </c>
    </row>
    <row r="5394" spans="1:4" outlineLevel="1" x14ac:dyDescent="0.25">
      <c r="A5394" t="s">
        <v>644</v>
      </c>
      <c r="B5394" t="s">
        <v>12</v>
      </c>
      <c r="C5394" s="1" t="str">
        <f>HYPERLINK("http://продеталь.рф/search.html?article=RV41009300000","RV41009300000")</f>
        <v>RV41009300000</v>
      </c>
      <c r="D5394" t="s">
        <v>9</v>
      </c>
    </row>
    <row r="5395" spans="1:4" x14ac:dyDescent="0.25">
      <c r="A5395" t="s">
        <v>645</v>
      </c>
      <c r="B5395" s="2" t="s">
        <v>645</v>
      </c>
      <c r="C5395" s="2"/>
      <c r="D5395" s="2"/>
    </row>
    <row r="5396" spans="1:4" outlineLevel="1" x14ac:dyDescent="0.25">
      <c r="A5396" t="s">
        <v>645</v>
      </c>
      <c r="B5396" t="s">
        <v>3</v>
      </c>
      <c r="C5396" s="1" t="str">
        <f>HYPERLINK("http://продеталь.рф/search.html?article=205505082","205505082")</f>
        <v>205505082</v>
      </c>
      <c r="D5396" t="s">
        <v>4</v>
      </c>
    </row>
    <row r="5397" spans="1:4" x14ac:dyDescent="0.25">
      <c r="A5397" t="s">
        <v>646</v>
      </c>
      <c r="B5397" s="2" t="s">
        <v>646</v>
      </c>
      <c r="C5397" s="2"/>
      <c r="D5397" s="2"/>
    </row>
    <row r="5398" spans="1:4" outlineLevel="1" x14ac:dyDescent="0.25">
      <c r="A5398" t="s">
        <v>646</v>
      </c>
      <c r="B5398" t="s">
        <v>40</v>
      </c>
      <c r="C5398" s="1" t="str">
        <f>HYPERLINK("http://продеталь.рф/search.html?article=RV30000G2","RV30000G2")</f>
        <v>RV30000G2</v>
      </c>
      <c r="D5398" t="s">
        <v>9</v>
      </c>
    </row>
    <row r="5399" spans="1:4" outlineLevel="1" x14ac:dyDescent="0.25">
      <c r="A5399" t="s">
        <v>646</v>
      </c>
      <c r="B5399" t="s">
        <v>12</v>
      </c>
      <c r="C5399" s="1" t="str">
        <f>HYPERLINK("http://продеталь.рф/search.html?article=RV30009300000","RV30009300000")</f>
        <v>RV30009300000</v>
      </c>
      <c r="D5399" t="s">
        <v>6</v>
      </c>
    </row>
    <row r="5400" spans="1:4" x14ac:dyDescent="0.25">
      <c r="A5400" t="s">
        <v>647</v>
      </c>
      <c r="B5400" s="2" t="s">
        <v>647</v>
      </c>
      <c r="C5400" s="2"/>
      <c r="D5400" s="2"/>
    </row>
    <row r="5401" spans="1:4" outlineLevel="1" x14ac:dyDescent="0.25">
      <c r="A5401" t="s">
        <v>647</v>
      </c>
      <c r="B5401" t="s">
        <v>3</v>
      </c>
      <c r="C5401" s="1" t="str">
        <f>HYPERLINK("http://продеталь.рф/search.html?article=200440052","200440052")</f>
        <v>200440052</v>
      </c>
      <c r="D5401" t="s">
        <v>4</v>
      </c>
    </row>
    <row r="5402" spans="1:4" outlineLevel="1" x14ac:dyDescent="0.25">
      <c r="A5402" t="s">
        <v>647</v>
      </c>
      <c r="B5402" t="s">
        <v>3</v>
      </c>
      <c r="C5402" s="1" t="str">
        <f>HYPERLINK("http://продеталь.рф/search.html?article=200439052","200439052")</f>
        <v>200439052</v>
      </c>
      <c r="D5402" t="s">
        <v>4</v>
      </c>
    </row>
    <row r="5403" spans="1:4" outlineLevel="1" x14ac:dyDescent="0.25">
      <c r="A5403" t="s">
        <v>647</v>
      </c>
      <c r="B5403" t="s">
        <v>19</v>
      </c>
      <c r="C5403" s="1" t="str">
        <f>HYPERLINK("http://продеталь.рф/search.html?article=19031005","19031005")</f>
        <v>19031005</v>
      </c>
      <c r="D5403" t="s">
        <v>4</v>
      </c>
    </row>
    <row r="5404" spans="1:4" x14ac:dyDescent="0.25">
      <c r="A5404" t="s">
        <v>648</v>
      </c>
      <c r="B5404" s="2" t="s">
        <v>648</v>
      </c>
      <c r="C5404" s="2"/>
      <c r="D5404" s="2"/>
    </row>
    <row r="5405" spans="1:4" outlineLevel="1" x14ac:dyDescent="0.25">
      <c r="A5405" t="s">
        <v>648</v>
      </c>
      <c r="B5405" t="s">
        <v>3</v>
      </c>
      <c r="C5405" s="1" t="str">
        <f>HYPERLINK("http://продеталь.рф/search.html?article=200667052","200667052")</f>
        <v>200667052</v>
      </c>
      <c r="D5405" t="s">
        <v>4</v>
      </c>
    </row>
    <row r="5406" spans="1:4" x14ac:dyDescent="0.25">
      <c r="A5406" t="s">
        <v>649</v>
      </c>
      <c r="B5406" s="2" t="s">
        <v>649</v>
      </c>
      <c r="C5406" s="2"/>
      <c r="D5406" s="2"/>
    </row>
    <row r="5407" spans="1:4" outlineLevel="1" x14ac:dyDescent="0.25">
      <c r="A5407" t="s">
        <v>649</v>
      </c>
      <c r="B5407" t="s">
        <v>240</v>
      </c>
      <c r="C5407" s="1" t="str">
        <f>HYPERLINK("http://продеталь.рф/search.html?article=VSTM1005DL","VSTM1005DL")</f>
        <v>VSTM1005DL</v>
      </c>
      <c r="D5407" t="s">
        <v>6</v>
      </c>
    </row>
    <row r="5408" spans="1:4" outlineLevel="1" x14ac:dyDescent="0.25">
      <c r="A5408" t="s">
        <v>649</v>
      </c>
      <c r="B5408" t="s">
        <v>5</v>
      </c>
      <c r="C5408" s="1" t="str">
        <f>HYPERLINK("http://продеталь.рф/search.html?article=ST11015AL","ST11015AL")</f>
        <v>ST11015AL</v>
      </c>
      <c r="D5408" t="s">
        <v>2</v>
      </c>
    </row>
    <row r="5409" spans="1:4" outlineLevel="1" x14ac:dyDescent="0.25">
      <c r="A5409" t="s">
        <v>649</v>
      </c>
      <c r="B5409" t="s">
        <v>5</v>
      </c>
      <c r="C5409" s="1" t="str">
        <f>HYPERLINK("http://продеталь.рф/search.html?article=ST11015AR","ST11015AR")</f>
        <v>ST11015AR</v>
      </c>
      <c r="D5409" t="s">
        <v>2</v>
      </c>
    </row>
    <row r="5410" spans="1:4" x14ac:dyDescent="0.25">
      <c r="A5410" t="s">
        <v>650</v>
      </c>
      <c r="B5410" s="2" t="s">
        <v>650</v>
      </c>
      <c r="C5410" s="2"/>
      <c r="D5410" s="2"/>
    </row>
    <row r="5411" spans="1:4" outlineLevel="1" x14ac:dyDescent="0.25">
      <c r="A5411" t="s">
        <v>650</v>
      </c>
      <c r="B5411" t="s">
        <v>11</v>
      </c>
      <c r="C5411" s="1" t="str">
        <f>HYPERLINK("http://продеталь.рф/search.html?article=ST0291001","ST0291001")</f>
        <v>ST0291001</v>
      </c>
      <c r="D5411" t="s">
        <v>447</v>
      </c>
    </row>
    <row r="5412" spans="1:4" outlineLevel="1" x14ac:dyDescent="0.25">
      <c r="A5412" t="s">
        <v>650</v>
      </c>
      <c r="B5412" t="s">
        <v>651</v>
      </c>
      <c r="C5412" s="1" t="str">
        <f>HYPERLINK("http://продеталь.рф/search.html?article=131024","131024")</f>
        <v>131024</v>
      </c>
      <c r="D5412" t="s">
        <v>165</v>
      </c>
    </row>
    <row r="5413" spans="1:4" outlineLevel="1" x14ac:dyDescent="0.25">
      <c r="A5413" t="s">
        <v>650</v>
      </c>
      <c r="B5413" t="s">
        <v>15</v>
      </c>
      <c r="C5413" s="1" t="str">
        <f>HYPERLINK("http://продеталь.рф/search.html?article=3310005","3310005")</f>
        <v>3310005</v>
      </c>
      <c r="D5413" t="s">
        <v>4</v>
      </c>
    </row>
    <row r="5414" spans="1:4" outlineLevel="1" x14ac:dyDescent="0.25">
      <c r="A5414" t="s">
        <v>650</v>
      </c>
      <c r="B5414" t="s">
        <v>3</v>
      </c>
      <c r="C5414" s="1" t="str">
        <f>HYPERLINK("http://продеталь.рф/search.html?article=205366082","205366082")</f>
        <v>205366082</v>
      </c>
      <c r="D5414" t="s">
        <v>4</v>
      </c>
    </row>
    <row r="5415" spans="1:4" outlineLevel="1" x14ac:dyDescent="0.25">
      <c r="A5415" t="s">
        <v>650</v>
      </c>
      <c r="B5415" t="s">
        <v>3</v>
      </c>
      <c r="C5415" s="1" t="str">
        <f>HYPERLINK("http://продеталь.рф/search.html?article=205365082","205365082")</f>
        <v>205365082</v>
      </c>
      <c r="D5415" t="s">
        <v>4</v>
      </c>
    </row>
    <row r="5416" spans="1:4" outlineLevel="1" x14ac:dyDescent="0.25">
      <c r="A5416" t="s">
        <v>650</v>
      </c>
      <c r="B5416" t="s">
        <v>3</v>
      </c>
      <c r="C5416" s="1" t="str">
        <f>HYPERLINK("http://продеталь.рф/search.html?article=205432082","205432082")</f>
        <v>205432082</v>
      </c>
      <c r="D5416" t="s">
        <v>4</v>
      </c>
    </row>
    <row r="5417" spans="1:4" outlineLevel="1" x14ac:dyDescent="0.25">
      <c r="A5417" t="s">
        <v>650</v>
      </c>
      <c r="B5417" t="s">
        <v>3</v>
      </c>
      <c r="C5417" s="1" t="str">
        <f>HYPERLINK("http://продеталь.рф/search.html?article=205431082","205431082")</f>
        <v>205431082</v>
      </c>
      <c r="D5417" t="s">
        <v>4</v>
      </c>
    </row>
    <row r="5418" spans="1:4" outlineLevel="1" x14ac:dyDescent="0.25">
      <c r="A5418" t="s">
        <v>650</v>
      </c>
      <c r="B5418" t="s">
        <v>40</v>
      </c>
      <c r="C5418" s="1" t="str">
        <f>HYPERLINK("http://продеталь.рф/search.html?article=ST99003R","ST99003R")</f>
        <v>ST99003R</v>
      </c>
      <c r="D5418" t="s">
        <v>2</v>
      </c>
    </row>
    <row r="5419" spans="1:4" outlineLevel="1" x14ac:dyDescent="0.25">
      <c r="A5419" t="s">
        <v>650</v>
      </c>
      <c r="B5419" t="s">
        <v>12</v>
      </c>
      <c r="C5419" s="1" t="str">
        <f>HYPERLINK("http://продеталь.рф/search.html?article=600501","600501")</f>
        <v>600501</v>
      </c>
      <c r="D5419" t="s">
        <v>61</v>
      </c>
    </row>
    <row r="5420" spans="1:4" outlineLevel="1" x14ac:dyDescent="0.25">
      <c r="A5420" t="s">
        <v>650</v>
      </c>
      <c r="B5420" t="s">
        <v>12</v>
      </c>
      <c r="C5420" s="1" t="str">
        <f>HYPERLINK("http://продеталь.рф/search.html?article=ST07004GA","ST07004GA")</f>
        <v>ST07004GA</v>
      </c>
      <c r="D5420" t="s">
        <v>2</v>
      </c>
    </row>
    <row r="5421" spans="1:4" outlineLevel="1" x14ac:dyDescent="0.25">
      <c r="A5421" t="s">
        <v>650</v>
      </c>
      <c r="B5421" t="s">
        <v>16</v>
      </c>
      <c r="C5421" s="1" t="str">
        <f>HYPERLINK("http://продеталь.рф/search.html?article=185242052","185242052")</f>
        <v>185242052</v>
      </c>
      <c r="D5421" t="s">
        <v>4</v>
      </c>
    </row>
    <row r="5422" spans="1:4" outlineLevel="1" x14ac:dyDescent="0.25">
      <c r="A5422" t="s">
        <v>650</v>
      </c>
      <c r="B5422" t="s">
        <v>16</v>
      </c>
      <c r="C5422" s="1" t="str">
        <f>HYPERLINK("http://продеталь.рф/search.html?article=185241052","185241052")</f>
        <v>185241052</v>
      </c>
      <c r="D5422" t="s">
        <v>4</v>
      </c>
    </row>
    <row r="5423" spans="1:4" x14ac:dyDescent="0.25">
      <c r="A5423" t="s">
        <v>652</v>
      </c>
      <c r="B5423" s="2" t="s">
        <v>652</v>
      </c>
      <c r="C5423" s="2"/>
      <c r="D5423" s="2"/>
    </row>
    <row r="5424" spans="1:4" outlineLevel="1" x14ac:dyDescent="0.25">
      <c r="A5424" t="s">
        <v>652</v>
      </c>
      <c r="B5424" t="s">
        <v>11</v>
      </c>
      <c r="C5424" s="1" t="str">
        <f>HYPERLINK("http://продеталь.рф/search.html?article=28506","28506")</f>
        <v>28506</v>
      </c>
      <c r="D5424" t="s">
        <v>163</v>
      </c>
    </row>
    <row r="5425" spans="1:4" outlineLevel="1" x14ac:dyDescent="0.25">
      <c r="A5425" t="s">
        <v>652</v>
      </c>
      <c r="B5425" t="s">
        <v>15</v>
      </c>
      <c r="C5425" s="1" t="str">
        <f>HYPERLINK("http://продеталь.рф/search.html?article=SE07941E2","SE07941E2")</f>
        <v>SE07941E2</v>
      </c>
      <c r="D5425" t="s">
        <v>9</v>
      </c>
    </row>
    <row r="5426" spans="1:4" outlineLevel="1" x14ac:dyDescent="0.25">
      <c r="A5426" t="s">
        <v>652</v>
      </c>
      <c r="B5426" t="s">
        <v>15</v>
      </c>
      <c r="C5426" s="1" t="str">
        <f>HYPERLINK("http://продеталь.рф/search.html?article=3310007","3310007")</f>
        <v>3310007</v>
      </c>
      <c r="D5426" t="s">
        <v>4</v>
      </c>
    </row>
    <row r="5427" spans="1:4" outlineLevel="1" x14ac:dyDescent="0.25">
      <c r="A5427" t="s">
        <v>652</v>
      </c>
      <c r="B5427" t="s">
        <v>15</v>
      </c>
      <c r="C5427" s="1" t="str">
        <f>HYPERLINK("http://продеталь.рф/search.html?article=SE07941EA0W","SE07941EA0W")</f>
        <v>SE07941EA0W</v>
      </c>
      <c r="D5427" t="s">
        <v>9</v>
      </c>
    </row>
    <row r="5428" spans="1:4" outlineLevel="1" x14ac:dyDescent="0.25">
      <c r="A5428" t="s">
        <v>652</v>
      </c>
      <c r="B5428" t="s">
        <v>35</v>
      </c>
      <c r="C5428" s="1" t="str">
        <f>HYPERLINK("http://продеталь.рф/search.html?article=PST60002A","PST60002A")</f>
        <v>PST60002A</v>
      </c>
      <c r="D5428" t="s">
        <v>6</v>
      </c>
    </row>
    <row r="5429" spans="1:4" outlineLevel="1" x14ac:dyDescent="0.25">
      <c r="A5429" t="s">
        <v>652</v>
      </c>
      <c r="B5429" t="s">
        <v>26</v>
      </c>
      <c r="C5429" s="1" t="str">
        <f>HYPERLINK("http://продеталь.рф/search.html?article=ST04008PA","ST04008PA")</f>
        <v>ST04008PA</v>
      </c>
      <c r="D5429" t="s">
        <v>2</v>
      </c>
    </row>
    <row r="5430" spans="1:4" outlineLevel="1" x14ac:dyDescent="0.25">
      <c r="A5430" t="s">
        <v>652</v>
      </c>
      <c r="B5430" t="s">
        <v>3</v>
      </c>
      <c r="C5430" s="1" t="str">
        <f>HYPERLINK("http://продеталь.рф/search.html?article=205994052","205994052")</f>
        <v>205994052</v>
      </c>
      <c r="D5430" t="s">
        <v>4</v>
      </c>
    </row>
    <row r="5431" spans="1:4" outlineLevel="1" x14ac:dyDescent="0.25">
      <c r="A5431" t="s">
        <v>652</v>
      </c>
      <c r="B5431" t="s">
        <v>19</v>
      </c>
      <c r="C5431" s="1" t="str">
        <f>HYPERLINK("http://продеталь.рф/search.html?article=190101052","190101052")</f>
        <v>190101052</v>
      </c>
      <c r="D5431" t="s">
        <v>4</v>
      </c>
    </row>
    <row r="5432" spans="1:4" outlineLevel="1" x14ac:dyDescent="0.25">
      <c r="A5432" t="s">
        <v>652</v>
      </c>
      <c r="B5432" t="s">
        <v>12</v>
      </c>
      <c r="C5432" s="1" t="str">
        <f>HYPERLINK("http://продеталь.рф/search.html?article=ST07005GA","ST07005GA")</f>
        <v>ST07005GA</v>
      </c>
      <c r="D5432" t="s">
        <v>2</v>
      </c>
    </row>
    <row r="5433" spans="1:4" x14ac:dyDescent="0.25">
      <c r="A5433" t="s">
        <v>653</v>
      </c>
      <c r="B5433" s="2" t="s">
        <v>653</v>
      </c>
      <c r="C5433" s="2"/>
      <c r="D5433" s="2"/>
    </row>
    <row r="5434" spans="1:4" outlineLevel="1" x14ac:dyDescent="0.25">
      <c r="A5434" t="s">
        <v>653</v>
      </c>
      <c r="B5434" t="s">
        <v>11</v>
      </c>
      <c r="C5434" s="1" t="str">
        <f>HYPERLINK("http://продеталь.рф/search.html?article=ST04009BA","ST04009BA")</f>
        <v>ST04009BA</v>
      </c>
      <c r="D5434" t="s">
        <v>2</v>
      </c>
    </row>
    <row r="5435" spans="1:4" outlineLevel="1" x14ac:dyDescent="0.25">
      <c r="A5435" t="s">
        <v>653</v>
      </c>
      <c r="B5435" t="s">
        <v>24</v>
      </c>
      <c r="C5435" s="1" t="str">
        <f>HYPERLINK("http://продеталь.рф/search.html?article=00117012","00117012")</f>
        <v>00117012</v>
      </c>
      <c r="D5435" t="s">
        <v>2</v>
      </c>
    </row>
    <row r="5436" spans="1:4" outlineLevel="1" x14ac:dyDescent="0.25">
      <c r="A5436" t="s">
        <v>653</v>
      </c>
      <c r="B5436" t="s">
        <v>66</v>
      </c>
      <c r="C5436" s="1" t="str">
        <f>HYPERLINK("http://продеталь.рф/search.html?article=BK055","BK055")</f>
        <v>BK055</v>
      </c>
      <c r="D5436" t="s">
        <v>6</v>
      </c>
    </row>
    <row r="5437" spans="1:4" outlineLevel="1" x14ac:dyDescent="0.25">
      <c r="A5437" t="s">
        <v>653</v>
      </c>
      <c r="B5437" t="s">
        <v>27</v>
      </c>
      <c r="C5437" s="1" t="str">
        <f>HYPERLINK("http://продеталь.рф/search.html?article=PST30003B","PST30003B")</f>
        <v>PST30003B</v>
      </c>
      <c r="D5437" t="s">
        <v>6</v>
      </c>
    </row>
    <row r="5438" spans="1:4" outlineLevel="1" x14ac:dyDescent="0.25">
      <c r="A5438" t="s">
        <v>653</v>
      </c>
      <c r="B5438" t="s">
        <v>3</v>
      </c>
      <c r="C5438" s="1" t="str">
        <f>HYPERLINK("http://продеталь.рф/search.html?article=200212052","200212052")</f>
        <v>200212052</v>
      </c>
      <c r="D5438" t="s">
        <v>4</v>
      </c>
    </row>
    <row r="5439" spans="1:4" outlineLevel="1" x14ac:dyDescent="0.25">
      <c r="A5439" t="s">
        <v>653</v>
      </c>
      <c r="B5439" t="s">
        <v>3</v>
      </c>
      <c r="C5439" s="1" t="str">
        <f>HYPERLINK("http://продеталь.рф/search.html?article=200211052","200211052")</f>
        <v>200211052</v>
      </c>
      <c r="D5439" t="s">
        <v>4</v>
      </c>
    </row>
    <row r="5440" spans="1:4" outlineLevel="1" x14ac:dyDescent="0.25">
      <c r="A5440" t="s">
        <v>653</v>
      </c>
      <c r="B5440" t="s">
        <v>19</v>
      </c>
      <c r="C5440" s="1" t="str">
        <f>HYPERLINK("http://продеталь.рф/search.html?article=190615052","190615052")</f>
        <v>190615052</v>
      </c>
      <c r="D5440" t="s">
        <v>4</v>
      </c>
    </row>
    <row r="5441" spans="1:4" outlineLevel="1" x14ac:dyDescent="0.25">
      <c r="A5441" t="s">
        <v>653</v>
      </c>
      <c r="B5441" t="s">
        <v>40</v>
      </c>
      <c r="C5441" s="1" t="str">
        <f>HYPERLINK("http://продеталь.рф/search.html?article=ST07010GA","ST07010GA")</f>
        <v>ST07010GA</v>
      </c>
      <c r="D5441" t="s">
        <v>2</v>
      </c>
    </row>
    <row r="5442" spans="1:4" outlineLevel="1" x14ac:dyDescent="0.25">
      <c r="A5442" t="s">
        <v>653</v>
      </c>
      <c r="B5442" t="s">
        <v>40</v>
      </c>
      <c r="C5442" s="1" t="str">
        <f>HYPERLINK("http://продеталь.рф/search.html?article=ST07014GAV","ST07014GAV")</f>
        <v>ST07014GAV</v>
      </c>
      <c r="D5442" t="s">
        <v>2</v>
      </c>
    </row>
    <row r="5443" spans="1:4" x14ac:dyDescent="0.25">
      <c r="A5443" t="s">
        <v>654</v>
      </c>
      <c r="B5443" s="2" t="s">
        <v>654</v>
      </c>
      <c r="C5443" s="2"/>
      <c r="D5443" s="2"/>
    </row>
    <row r="5444" spans="1:4" outlineLevel="1" x14ac:dyDescent="0.25">
      <c r="A5444" t="s">
        <v>654</v>
      </c>
      <c r="B5444" t="s">
        <v>5</v>
      </c>
      <c r="C5444" s="1" t="str">
        <f>HYPERLINK("http://продеталь.рф/search.html?article=212734","212734")</f>
        <v>212734</v>
      </c>
      <c r="D5444" t="s">
        <v>21</v>
      </c>
    </row>
    <row r="5445" spans="1:4" x14ac:dyDescent="0.25">
      <c r="A5445" t="s">
        <v>655</v>
      </c>
      <c r="B5445" s="2" t="s">
        <v>655</v>
      </c>
      <c r="C5445" s="2"/>
      <c r="D5445" s="2"/>
    </row>
    <row r="5446" spans="1:4" outlineLevel="1" x14ac:dyDescent="0.25">
      <c r="A5446" t="s">
        <v>655</v>
      </c>
      <c r="B5446" t="s">
        <v>1</v>
      </c>
      <c r="C5446" s="1" t="str">
        <f>HYPERLINK("http://продеталь.рф/search.html?article=ST20000A","ST20000A")</f>
        <v>ST20000A</v>
      </c>
      <c r="D5446" t="s">
        <v>2</v>
      </c>
    </row>
    <row r="5447" spans="1:4" outlineLevel="1" x14ac:dyDescent="0.25">
      <c r="A5447" t="s">
        <v>655</v>
      </c>
      <c r="B5447" t="s">
        <v>24</v>
      </c>
      <c r="C5447" s="1" t="str">
        <f>HYPERLINK("http://продеталь.рф/search.html?article=00172011","00172011")</f>
        <v>00172011</v>
      </c>
      <c r="D5447" t="s">
        <v>586</v>
      </c>
    </row>
    <row r="5448" spans="1:4" outlineLevel="1" x14ac:dyDescent="0.25">
      <c r="A5448" t="s">
        <v>655</v>
      </c>
      <c r="B5448" t="s">
        <v>16</v>
      </c>
      <c r="C5448" s="1" t="str">
        <f>HYPERLINK("http://продеталь.рф/search.html?article=185142052","185142052")</f>
        <v>185142052</v>
      </c>
      <c r="D5448" t="s">
        <v>4</v>
      </c>
    </row>
    <row r="5449" spans="1:4" outlineLevel="1" x14ac:dyDescent="0.25">
      <c r="A5449" t="s">
        <v>655</v>
      </c>
      <c r="B5449" t="s">
        <v>16</v>
      </c>
      <c r="C5449" s="1" t="str">
        <f>HYPERLINK("http://продеталь.рф/search.html?article=185141052","185141052")</f>
        <v>185141052</v>
      </c>
      <c r="D5449" t="s">
        <v>4</v>
      </c>
    </row>
    <row r="5450" spans="1:4" x14ac:dyDescent="0.25">
      <c r="A5450" t="s">
        <v>656</v>
      </c>
      <c r="B5450" s="2" t="s">
        <v>656</v>
      </c>
      <c r="C5450" s="2"/>
      <c r="D5450" s="2"/>
    </row>
    <row r="5451" spans="1:4" outlineLevel="1" x14ac:dyDescent="0.25">
      <c r="A5451" t="s">
        <v>656</v>
      </c>
      <c r="B5451" t="s">
        <v>11</v>
      </c>
      <c r="C5451" s="1" t="str">
        <f>HYPERLINK("http://продеталь.рф/search.html?article=ST04004BA","ST04004BA")</f>
        <v>ST04004BA</v>
      </c>
      <c r="D5451" t="s">
        <v>2</v>
      </c>
    </row>
    <row r="5452" spans="1:4" outlineLevel="1" x14ac:dyDescent="0.25">
      <c r="A5452" t="s">
        <v>656</v>
      </c>
      <c r="B5452" t="s">
        <v>1</v>
      </c>
      <c r="C5452" s="1" t="str">
        <f>HYPERLINK("http://продеталь.рф/search.html?article=09370110","09370110")</f>
        <v>09370110</v>
      </c>
      <c r="D5452" t="s">
        <v>47</v>
      </c>
    </row>
    <row r="5453" spans="1:4" outlineLevel="1" x14ac:dyDescent="0.25">
      <c r="A5453" t="s">
        <v>656</v>
      </c>
      <c r="B5453" t="s">
        <v>5</v>
      </c>
      <c r="C5453" s="1" t="str">
        <f>HYPERLINK("http://продеталь.рф/search.html?article=212713","212713")</f>
        <v>212713</v>
      </c>
      <c r="D5453" t="s">
        <v>21</v>
      </c>
    </row>
    <row r="5454" spans="1:4" outlineLevel="1" x14ac:dyDescent="0.25">
      <c r="A5454" t="s">
        <v>656</v>
      </c>
      <c r="B5454" t="s">
        <v>5</v>
      </c>
      <c r="C5454" s="1" t="str">
        <f>HYPERLINK("http://продеталь.рф/search.html?article=212714","212714")</f>
        <v>212714</v>
      </c>
      <c r="D5454" t="s">
        <v>21</v>
      </c>
    </row>
    <row r="5455" spans="1:4" outlineLevel="1" x14ac:dyDescent="0.25">
      <c r="A5455" t="s">
        <v>656</v>
      </c>
      <c r="B5455" t="s">
        <v>19</v>
      </c>
      <c r="C5455" s="1" t="str">
        <f>HYPERLINK("http://продеталь.рф/search.html?article=190644052","190644052")</f>
        <v>190644052</v>
      </c>
      <c r="D5455" t="s">
        <v>4</v>
      </c>
    </row>
    <row r="5456" spans="1:4" outlineLevel="1" x14ac:dyDescent="0.25">
      <c r="A5456" t="s">
        <v>656</v>
      </c>
      <c r="B5456" t="s">
        <v>19</v>
      </c>
      <c r="C5456" s="1" t="str">
        <f>HYPERLINK("http://продеталь.рф/search.html?article=190643052","190643052")</f>
        <v>190643052</v>
      </c>
      <c r="D5456" t="s">
        <v>4</v>
      </c>
    </row>
    <row r="5457" spans="1:4" outlineLevel="1" x14ac:dyDescent="0.25">
      <c r="A5457" t="s">
        <v>656</v>
      </c>
      <c r="B5457" t="s">
        <v>12</v>
      </c>
      <c r="C5457" s="1" t="str">
        <f>HYPERLINK("http://продеталь.рф/search.html?article=TO26","TO26")</f>
        <v>TO26</v>
      </c>
      <c r="D5457" t="s">
        <v>18</v>
      </c>
    </row>
    <row r="5458" spans="1:4" x14ac:dyDescent="0.25">
      <c r="A5458" t="s">
        <v>657</v>
      </c>
      <c r="B5458" s="2" t="s">
        <v>657</v>
      </c>
      <c r="C5458" s="2"/>
      <c r="D5458" s="2"/>
    </row>
    <row r="5459" spans="1:4" outlineLevel="1" x14ac:dyDescent="0.25">
      <c r="A5459" t="s">
        <v>657</v>
      </c>
      <c r="B5459" t="s">
        <v>11</v>
      </c>
      <c r="C5459" s="1" t="str">
        <f>HYPERLINK("http://продеталь.рф/search.html?article=AL02","AL02")</f>
        <v>AL02</v>
      </c>
      <c r="D5459" t="s">
        <v>18</v>
      </c>
    </row>
    <row r="5460" spans="1:4" outlineLevel="1" x14ac:dyDescent="0.25">
      <c r="A5460" t="s">
        <v>657</v>
      </c>
      <c r="B5460" t="s">
        <v>1</v>
      </c>
      <c r="C5460" s="1" t="str">
        <f>HYPERLINK("http://продеталь.рф/search.html?article=ST20003A","ST20003A")</f>
        <v>ST20003A</v>
      </c>
      <c r="D5460" t="s">
        <v>2</v>
      </c>
    </row>
    <row r="5461" spans="1:4" x14ac:dyDescent="0.25">
      <c r="A5461" t="s">
        <v>658</v>
      </c>
      <c r="B5461" s="2" t="s">
        <v>658</v>
      </c>
      <c r="C5461" s="2"/>
      <c r="D5461" s="2"/>
    </row>
    <row r="5462" spans="1:4" outlineLevel="1" x14ac:dyDescent="0.25">
      <c r="A5462" t="s">
        <v>658</v>
      </c>
      <c r="B5462" t="s">
        <v>11</v>
      </c>
      <c r="C5462" s="1" t="str">
        <f>HYPERLINK("http://продеталь.рф/search.html?article=SD04007BB","SD04007BB")</f>
        <v>SD04007BB</v>
      </c>
      <c r="D5462" t="s">
        <v>2</v>
      </c>
    </row>
    <row r="5463" spans="1:4" outlineLevel="1" x14ac:dyDescent="0.25">
      <c r="A5463" t="s">
        <v>658</v>
      </c>
      <c r="B5463" t="s">
        <v>11</v>
      </c>
      <c r="C5463" s="1" t="str">
        <f>HYPERLINK("http://продеталь.рф/search.html?article=SKO07FA008","SKO07FA008")</f>
        <v>SKO07FA008</v>
      </c>
      <c r="D5463" t="s">
        <v>182</v>
      </c>
    </row>
    <row r="5464" spans="1:4" outlineLevel="1" x14ac:dyDescent="0.25">
      <c r="A5464" t="s">
        <v>658</v>
      </c>
      <c r="B5464" t="s">
        <v>15</v>
      </c>
      <c r="C5464" s="1" t="str">
        <f>HYPERLINK("http://продеталь.рф/search.html?article=3320001","3320001")</f>
        <v>3320001</v>
      </c>
      <c r="D5464" t="s">
        <v>4</v>
      </c>
    </row>
    <row r="5465" spans="1:4" outlineLevel="1" x14ac:dyDescent="0.25">
      <c r="A5465" t="s">
        <v>658</v>
      </c>
      <c r="B5465" t="s">
        <v>24</v>
      </c>
      <c r="C5465" s="1" t="str">
        <f>HYPERLINK("http://продеталь.рф/search.html?article=01705011","01705011")</f>
        <v>01705011</v>
      </c>
      <c r="D5465" t="s">
        <v>2</v>
      </c>
    </row>
    <row r="5466" spans="1:4" outlineLevel="1" x14ac:dyDescent="0.25">
      <c r="A5466" t="s">
        <v>658</v>
      </c>
      <c r="B5466" t="s">
        <v>26</v>
      </c>
      <c r="C5466" s="1" t="str">
        <f>HYPERLINK("http://продеталь.рф/search.html?article=SD04007MAL","SD04007MAL")</f>
        <v>SD04007MAL</v>
      </c>
      <c r="D5466" t="s">
        <v>2</v>
      </c>
    </row>
    <row r="5467" spans="1:4" outlineLevel="1" x14ac:dyDescent="0.25">
      <c r="A5467" t="s">
        <v>658</v>
      </c>
      <c r="B5467" t="s">
        <v>3</v>
      </c>
      <c r="C5467" s="1" t="str">
        <f>HYPERLINK("http://продеталь.рф/search.html?article=206230052","206230052")</f>
        <v>206230052</v>
      </c>
      <c r="D5467" t="s">
        <v>4</v>
      </c>
    </row>
    <row r="5468" spans="1:4" outlineLevel="1" x14ac:dyDescent="0.25">
      <c r="A5468" t="s">
        <v>658</v>
      </c>
      <c r="B5468" t="s">
        <v>3</v>
      </c>
      <c r="C5468" s="1" t="str">
        <f>HYPERLINK("http://продеталь.рф/search.html?article=206229052","206229052")</f>
        <v>206229052</v>
      </c>
      <c r="D5468" t="s">
        <v>4</v>
      </c>
    </row>
    <row r="5469" spans="1:4" outlineLevel="1" x14ac:dyDescent="0.25">
      <c r="A5469" t="s">
        <v>658</v>
      </c>
      <c r="B5469" t="s">
        <v>3</v>
      </c>
      <c r="C5469" s="1" t="str">
        <f>HYPERLINK("http://продеталь.рф/search.html?article=206230A52B","206230A52B")</f>
        <v>206230A52B</v>
      </c>
      <c r="D5469" t="s">
        <v>4</v>
      </c>
    </row>
    <row r="5470" spans="1:4" outlineLevel="1" x14ac:dyDescent="0.25">
      <c r="A5470" t="s">
        <v>658</v>
      </c>
      <c r="B5470" t="s">
        <v>3</v>
      </c>
      <c r="C5470" s="1" t="str">
        <f>HYPERLINK("http://продеталь.рф/search.html?article=206229A52B","206229A52B")</f>
        <v>206229A52B</v>
      </c>
      <c r="D5470" t="s">
        <v>4</v>
      </c>
    </row>
    <row r="5471" spans="1:4" outlineLevel="1" x14ac:dyDescent="0.25">
      <c r="A5471" t="s">
        <v>658</v>
      </c>
      <c r="B5471" t="s">
        <v>5</v>
      </c>
      <c r="C5471" s="1" t="str">
        <f>HYPERLINK("http://продеталь.рф/search.html?article=211729","211729")</f>
        <v>211729</v>
      </c>
      <c r="D5471" t="s">
        <v>21</v>
      </c>
    </row>
    <row r="5472" spans="1:4" outlineLevel="1" x14ac:dyDescent="0.25">
      <c r="A5472" t="s">
        <v>658</v>
      </c>
      <c r="B5472" t="s">
        <v>5</v>
      </c>
      <c r="C5472" s="1" t="str">
        <f>HYPERLINK("http://продеталь.рф/search.html?article=211730","211730")</f>
        <v>211730</v>
      </c>
      <c r="D5472" t="s">
        <v>21</v>
      </c>
    </row>
    <row r="5473" spans="1:4" outlineLevel="1" x14ac:dyDescent="0.25">
      <c r="A5473" t="s">
        <v>658</v>
      </c>
      <c r="B5473" t="s">
        <v>19</v>
      </c>
      <c r="C5473" s="1" t="str">
        <f>HYPERLINK("http://продеталь.рф/search.html?article=ZSD2001L","ZSD2001L")</f>
        <v>ZSD2001L</v>
      </c>
      <c r="D5473" t="s">
        <v>6</v>
      </c>
    </row>
    <row r="5474" spans="1:4" outlineLevel="1" x14ac:dyDescent="0.25">
      <c r="A5474" t="s">
        <v>658</v>
      </c>
      <c r="B5474" t="s">
        <v>40</v>
      </c>
      <c r="C5474" s="1" t="str">
        <f>HYPERLINK("http://продеталь.рф/search.html?article=SD07005GAL","SD07005GAL")</f>
        <v>SD07005GAL</v>
      </c>
      <c r="D5474" t="s">
        <v>2</v>
      </c>
    </row>
    <row r="5475" spans="1:4" outlineLevel="1" x14ac:dyDescent="0.25">
      <c r="A5475" t="s">
        <v>658</v>
      </c>
      <c r="B5475" t="s">
        <v>40</v>
      </c>
      <c r="C5475" s="1" t="str">
        <f>HYPERLINK("http://продеталь.рф/search.html?article=SD07005GAR","SD07005GAR")</f>
        <v>SD07005GAR</v>
      </c>
      <c r="D5475" t="s">
        <v>2</v>
      </c>
    </row>
    <row r="5476" spans="1:4" outlineLevel="1" x14ac:dyDescent="0.25">
      <c r="A5476" t="s">
        <v>658</v>
      </c>
      <c r="B5476" t="s">
        <v>12</v>
      </c>
      <c r="C5476" s="1" t="str">
        <f>HYPERLINK("http://продеталь.рф/search.html?article=SD07004GA","SD07004GA")</f>
        <v>SD07004GA</v>
      </c>
      <c r="D5476" t="s">
        <v>2</v>
      </c>
    </row>
    <row r="5477" spans="1:4" outlineLevel="1" x14ac:dyDescent="0.25">
      <c r="A5477" t="s">
        <v>658</v>
      </c>
      <c r="B5477" t="s">
        <v>13</v>
      </c>
      <c r="C5477" s="1" t="str">
        <f>HYPERLINK("http://продеталь.рф/search.html?article=SD01000R0","SD01000R0")</f>
        <v>SD01000R0</v>
      </c>
      <c r="D5477" t="s">
        <v>9</v>
      </c>
    </row>
    <row r="5478" spans="1:4" x14ac:dyDescent="0.25">
      <c r="A5478" t="s">
        <v>659</v>
      </c>
      <c r="B5478" s="2" t="s">
        <v>659</v>
      </c>
      <c r="C5478" s="2"/>
      <c r="D5478" s="2"/>
    </row>
    <row r="5479" spans="1:4" outlineLevel="1" x14ac:dyDescent="0.25">
      <c r="A5479" t="s">
        <v>659</v>
      </c>
      <c r="B5479" t="s">
        <v>11</v>
      </c>
      <c r="C5479" s="1" t="str">
        <f>HYPERLINK("http://продеталь.рф/search.html?article=SD04012BA","SD04012BA")</f>
        <v>SD04012BA</v>
      </c>
      <c r="D5479" t="s">
        <v>2</v>
      </c>
    </row>
    <row r="5480" spans="1:4" outlineLevel="1" x14ac:dyDescent="0.25">
      <c r="A5480" t="s">
        <v>659</v>
      </c>
      <c r="B5480" t="s">
        <v>11</v>
      </c>
      <c r="C5480" s="1" t="str">
        <f>HYPERLINK("http://продеталь.рф/search.html?article=PSD04014BAK","PSD04014BAK")</f>
        <v>PSD04014BAK</v>
      </c>
      <c r="D5480" t="s">
        <v>6</v>
      </c>
    </row>
    <row r="5481" spans="1:4" outlineLevel="1" x14ac:dyDescent="0.25">
      <c r="A5481" t="s">
        <v>659</v>
      </c>
      <c r="B5481" t="s">
        <v>3</v>
      </c>
      <c r="C5481" s="1" t="str">
        <f>HYPERLINK("http://продеталь.рф/search.html?article=201502052","201502052")</f>
        <v>201502052</v>
      </c>
      <c r="D5481" t="s">
        <v>4</v>
      </c>
    </row>
    <row r="5482" spans="1:4" outlineLevel="1" x14ac:dyDescent="0.25">
      <c r="A5482" t="s">
        <v>659</v>
      </c>
      <c r="B5482" t="s">
        <v>3</v>
      </c>
      <c r="C5482" s="1" t="str">
        <f>HYPERLINK("http://продеталь.рф/search.html?article=201501052","201501052")</f>
        <v>201501052</v>
      </c>
      <c r="D5482" t="s">
        <v>4</v>
      </c>
    </row>
    <row r="5483" spans="1:4" outlineLevel="1" x14ac:dyDescent="0.25">
      <c r="A5483" t="s">
        <v>659</v>
      </c>
      <c r="B5483" t="s">
        <v>5</v>
      </c>
      <c r="C5483" s="1" t="str">
        <f>HYPERLINK("http://продеталь.рф/search.html?article=306SKF012","306SKF012")</f>
        <v>306SKF012</v>
      </c>
      <c r="D5483" t="s">
        <v>4</v>
      </c>
    </row>
    <row r="5484" spans="1:4" outlineLevel="1" x14ac:dyDescent="0.25">
      <c r="A5484" t="s">
        <v>659</v>
      </c>
      <c r="B5484" t="s">
        <v>5</v>
      </c>
      <c r="C5484" s="1" t="str">
        <f>HYPERLINK("http://продеталь.рф/search.html?article=306SKF011","306SKF011")</f>
        <v>306SKF011</v>
      </c>
      <c r="D5484" t="s">
        <v>4</v>
      </c>
    </row>
    <row r="5485" spans="1:4" outlineLevel="1" x14ac:dyDescent="0.25">
      <c r="A5485" t="s">
        <v>659</v>
      </c>
      <c r="B5485" t="s">
        <v>19</v>
      </c>
      <c r="C5485" s="1" t="str">
        <f>HYPERLINK("http://продеталь.рф/search.html?article=190666012","190666012")</f>
        <v>190666012</v>
      </c>
      <c r="D5485" t="s">
        <v>4</v>
      </c>
    </row>
    <row r="5486" spans="1:4" outlineLevel="1" x14ac:dyDescent="0.25">
      <c r="A5486" t="s">
        <v>659</v>
      </c>
      <c r="B5486" t="s">
        <v>19</v>
      </c>
      <c r="C5486" s="1" t="str">
        <f>HYPERLINK("http://продеталь.рф/search.html?article=190665012","190665012")</f>
        <v>190665012</v>
      </c>
      <c r="D5486" t="s">
        <v>4</v>
      </c>
    </row>
    <row r="5487" spans="1:4" outlineLevel="1" x14ac:dyDescent="0.25">
      <c r="A5487" t="s">
        <v>659</v>
      </c>
      <c r="B5487" t="s">
        <v>40</v>
      </c>
      <c r="C5487" s="1" t="str">
        <f>HYPERLINK("http://продеталь.рф/search.html?article=SD99002CAR","SD99002CAR")</f>
        <v>SD99002CAR</v>
      </c>
      <c r="D5487" t="s">
        <v>2</v>
      </c>
    </row>
    <row r="5488" spans="1:4" x14ac:dyDescent="0.25">
      <c r="A5488" t="s">
        <v>660</v>
      </c>
      <c r="B5488" s="2" t="s">
        <v>660</v>
      </c>
      <c r="C5488" s="2"/>
      <c r="D5488" s="2"/>
    </row>
    <row r="5489" spans="1:4" outlineLevel="1" x14ac:dyDescent="0.25">
      <c r="A5489" t="s">
        <v>660</v>
      </c>
      <c r="B5489" t="s">
        <v>11</v>
      </c>
      <c r="C5489" s="1" t="str">
        <f>HYPERLINK("http://продеталь.рф/search.html?article=SD16000A0","SD16000A0")</f>
        <v>SD16000A0</v>
      </c>
      <c r="D5489" t="s">
        <v>9</v>
      </c>
    </row>
    <row r="5490" spans="1:4" outlineLevel="1" x14ac:dyDescent="0.25">
      <c r="A5490" t="s">
        <v>660</v>
      </c>
      <c r="B5490" t="s">
        <v>11</v>
      </c>
      <c r="C5490" s="1" t="str">
        <f>HYPERLINK("http://продеталь.рф/search.html?article=SD170000","SD170000")</f>
        <v>SD170000</v>
      </c>
      <c r="D5490" t="s">
        <v>9</v>
      </c>
    </row>
    <row r="5491" spans="1:4" outlineLevel="1" x14ac:dyDescent="0.25">
      <c r="A5491" t="s">
        <v>660</v>
      </c>
      <c r="B5491" t="s">
        <v>45</v>
      </c>
      <c r="C5491" s="1" t="str">
        <f>HYPERLINK("http://продеталь.рф/search.html?article=7513582","7513582")</f>
        <v>7513582</v>
      </c>
      <c r="D5491" t="s">
        <v>46</v>
      </c>
    </row>
    <row r="5492" spans="1:4" outlineLevel="1" x14ac:dyDescent="0.25">
      <c r="A5492" t="s">
        <v>660</v>
      </c>
      <c r="B5492" t="s">
        <v>1</v>
      </c>
      <c r="C5492" s="1" t="str">
        <f>HYPERLINK("http://продеталь.рф/search.html?article=SD20004A","SD20004A")</f>
        <v>SD20004A</v>
      </c>
      <c r="D5492" t="s">
        <v>2</v>
      </c>
    </row>
    <row r="5493" spans="1:4" outlineLevel="1" x14ac:dyDescent="0.25">
      <c r="A5493" t="s">
        <v>660</v>
      </c>
      <c r="B5493" t="s">
        <v>24</v>
      </c>
      <c r="C5493" s="1" t="str">
        <f>HYPERLINK("http://продеталь.рф/search.html?article=SD160161","SD160161")</f>
        <v>SD160161</v>
      </c>
      <c r="D5493" t="s">
        <v>9</v>
      </c>
    </row>
    <row r="5494" spans="1:4" outlineLevel="1" x14ac:dyDescent="0.25">
      <c r="A5494" t="s">
        <v>660</v>
      </c>
      <c r="B5494" t="s">
        <v>50</v>
      </c>
      <c r="C5494" s="1" t="str">
        <f>HYPERLINK("http://продеталь.рф/search.html?article=SD172061","SD172061")</f>
        <v>SD172061</v>
      </c>
      <c r="D5494" t="s">
        <v>9</v>
      </c>
    </row>
    <row r="5495" spans="1:4" outlineLevel="1" x14ac:dyDescent="0.25">
      <c r="A5495" t="s">
        <v>660</v>
      </c>
      <c r="B5495" t="s">
        <v>3</v>
      </c>
      <c r="C5495" s="1" t="str">
        <f>HYPERLINK("http://продеталь.рф/search.html?article=203140052","203140052")</f>
        <v>203140052</v>
      </c>
      <c r="D5495" t="s">
        <v>4</v>
      </c>
    </row>
    <row r="5496" spans="1:4" outlineLevel="1" x14ac:dyDescent="0.25">
      <c r="A5496" t="s">
        <v>660</v>
      </c>
      <c r="B5496" t="s">
        <v>3</v>
      </c>
      <c r="C5496" s="1" t="str">
        <f>HYPERLINK("http://продеталь.рф/search.html?article=205796052","205796052")</f>
        <v>205796052</v>
      </c>
      <c r="D5496" t="s">
        <v>4</v>
      </c>
    </row>
    <row r="5497" spans="1:4" outlineLevel="1" x14ac:dyDescent="0.25">
      <c r="A5497" t="s">
        <v>660</v>
      </c>
      <c r="B5497" t="s">
        <v>3</v>
      </c>
      <c r="C5497" s="1" t="str">
        <f>HYPERLINK("http://продеталь.рф/search.html?article=205795052","205795052")</f>
        <v>205795052</v>
      </c>
      <c r="D5497" t="s">
        <v>4</v>
      </c>
    </row>
    <row r="5498" spans="1:4" outlineLevel="1" x14ac:dyDescent="0.25">
      <c r="A5498" t="s">
        <v>660</v>
      </c>
      <c r="B5498" t="s">
        <v>5</v>
      </c>
      <c r="C5498" s="1" t="str">
        <f>HYPERLINK("http://продеталь.рф/search.html?article=211713","211713")</f>
        <v>211713</v>
      </c>
      <c r="D5498" t="s">
        <v>21</v>
      </c>
    </row>
    <row r="5499" spans="1:4" outlineLevel="1" x14ac:dyDescent="0.25">
      <c r="A5499" t="s">
        <v>660</v>
      </c>
      <c r="B5499" t="s">
        <v>5</v>
      </c>
      <c r="C5499" s="1" t="str">
        <f>HYPERLINK("http://продеталь.рф/search.html?article=211714","211714")</f>
        <v>211714</v>
      </c>
      <c r="D5499" t="s">
        <v>21</v>
      </c>
    </row>
    <row r="5500" spans="1:4" outlineLevel="1" x14ac:dyDescent="0.25">
      <c r="A5500" t="s">
        <v>660</v>
      </c>
      <c r="B5500" t="s">
        <v>5</v>
      </c>
      <c r="C5500" s="1" t="str">
        <f>HYPERLINK("http://продеталь.рф/search.html?article=211718","211718")</f>
        <v>211718</v>
      </c>
      <c r="D5500" t="s">
        <v>21</v>
      </c>
    </row>
    <row r="5501" spans="1:4" outlineLevel="1" x14ac:dyDescent="0.25">
      <c r="A5501" t="s">
        <v>660</v>
      </c>
      <c r="B5501" t="s">
        <v>54</v>
      </c>
      <c r="C5501" s="1" t="str">
        <f>HYPERLINK("http://продеталь.рф/search.html?article=7513012","7513012")</f>
        <v>7513012</v>
      </c>
      <c r="D5501" t="s">
        <v>46</v>
      </c>
    </row>
    <row r="5502" spans="1:4" outlineLevel="1" x14ac:dyDescent="0.25">
      <c r="A5502" t="s">
        <v>660</v>
      </c>
      <c r="B5502" t="s">
        <v>28</v>
      </c>
      <c r="C5502" s="1" t="str">
        <f>HYPERLINK("http://продеталь.рф/search.html?article=RA64102","RA64102")</f>
        <v>RA64102</v>
      </c>
      <c r="D5502" t="s">
        <v>6</v>
      </c>
    </row>
    <row r="5503" spans="1:4" outlineLevel="1" x14ac:dyDescent="0.25">
      <c r="A5503" t="s">
        <v>660</v>
      </c>
      <c r="B5503" t="s">
        <v>12</v>
      </c>
      <c r="C5503" s="1" t="str">
        <f>HYPERLINK("http://продеталь.рф/search.html?article=SD07003GA","SD07003GA")</f>
        <v>SD07003GA</v>
      </c>
      <c r="D5503" t="s">
        <v>2</v>
      </c>
    </row>
    <row r="5504" spans="1:4" x14ac:dyDescent="0.25">
      <c r="A5504" t="s">
        <v>661</v>
      </c>
      <c r="B5504" s="2" t="s">
        <v>661</v>
      </c>
      <c r="C5504" s="2"/>
      <c r="D5504" s="2"/>
    </row>
    <row r="5505" spans="1:4" outlineLevel="1" x14ac:dyDescent="0.25">
      <c r="A5505" t="s">
        <v>661</v>
      </c>
      <c r="B5505" t="s">
        <v>11</v>
      </c>
      <c r="C5505" s="1" t="str">
        <f>HYPERLINK("http://продеталь.рф/search.html?article=SD04009BAN","SD04009BAN")</f>
        <v>SD04009BAN</v>
      </c>
      <c r="D5505" t="s">
        <v>2</v>
      </c>
    </row>
    <row r="5506" spans="1:4" outlineLevel="1" x14ac:dyDescent="0.25">
      <c r="A5506" t="s">
        <v>661</v>
      </c>
      <c r="B5506" t="s">
        <v>11</v>
      </c>
      <c r="C5506" s="1" t="str">
        <f>HYPERLINK("http://продеталь.рф/search.html?article=SD04013BAN","SD04013BAN")</f>
        <v>SD04013BAN</v>
      </c>
      <c r="D5506" t="s">
        <v>2</v>
      </c>
    </row>
    <row r="5507" spans="1:4" outlineLevel="1" x14ac:dyDescent="0.25">
      <c r="A5507" t="s">
        <v>661</v>
      </c>
      <c r="B5507" t="s">
        <v>15</v>
      </c>
      <c r="C5507" s="1" t="str">
        <f>HYPERLINK("http://продеталь.рф/search.html?article=3320010","3320010")</f>
        <v>3320010</v>
      </c>
      <c r="D5507" t="s">
        <v>4</v>
      </c>
    </row>
    <row r="5508" spans="1:4" outlineLevel="1" x14ac:dyDescent="0.25">
      <c r="A5508" t="s">
        <v>661</v>
      </c>
      <c r="B5508" t="s">
        <v>26</v>
      </c>
      <c r="C5508" s="1" t="str">
        <f>HYPERLINK("http://продеталь.рф/search.html?article=USK1025100","USK1025100")</f>
        <v>USK1025100</v>
      </c>
      <c r="D5508" t="s">
        <v>2</v>
      </c>
    </row>
    <row r="5509" spans="1:4" outlineLevel="1" x14ac:dyDescent="0.25">
      <c r="A5509" t="s">
        <v>661</v>
      </c>
      <c r="B5509" t="s">
        <v>3</v>
      </c>
      <c r="C5509" s="1" t="str">
        <f>HYPERLINK("http://продеталь.рф/search.html?article=205295082","205295082")</f>
        <v>205295082</v>
      </c>
      <c r="D5509" t="s">
        <v>4</v>
      </c>
    </row>
    <row r="5510" spans="1:4" outlineLevel="1" x14ac:dyDescent="0.25">
      <c r="A5510" t="s">
        <v>661</v>
      </c>
      <c r="B5510" t="s">
        <v>3</v>
      </c>
      <c r="C5510" s="1" t="str">
        <f>HYPERLINK("http://продеталь.рф/search.html?article=206232052","206232052")</f>
        <v>206232052</v>
      </c>
      <c r="D5510" t="s">
        <v>4</v>
      </c>
    </row>
    <row r="5511" spans="1:4" outlineLevel="1" x14ac:dyDescent="0.25">
      <c r="A5511" t="s">
        <v>661</v>
      </c>
      <c r="B5511" t="s">
        <v>3</v>
      </c>
      <c r="C5511" s="1" t="str">
        <f>HYPERLINK("http://продеталь.рф/search.html?article=206231052","206231052")</f>
        <v>206231052</v>
      </c>
      <c r="D5511" t="s">
        <v>4</v>
      </c>
    </row>
    <row r="5512" spans="1:4" outlineLevel="1" x14ac:dyDescent="0.25">
      <c r="A5512" t="s">
        <v>661</v>
      </c>
      <c r="B5512" t="s">
        <v>5</v>
      </c>
      <c r="C5512" s="1" t="str">
        <f>HYPERLINK("http://продеталь.рф/search.html?article=211725","211725")</f>
        <v>211725</v>
      </c>
      <c r="D5512" t="s">
        <v>21</v>
      </c>
    </row>
    <row r="5513" spans="1:4" outlineLevel="1" x14ac:dyDescent="0.25">
      <c r="A5513" t="s">
        <v>661</v>
      </c>
      <c r="B5513" t="s">
        <v>5</v>
      </c>
      <c r="C5513" s="1" t="str">
        <f>HYPERLINK("http://продеталь.рф/search.html?article=211726","211726")</f>
        <v>211726</v>
      </c>
      <c r="D5513" t="s">
        <v>21</v>
      </c>
    </row>
    <row r="5514" spans="1:4" outlineLevel="1" x14ac:dyDescent="0.25">
      <c r="A5514" t="s">
        <v>661</v>
      </c>
      <c r="B5514" t="s">
        <v>52</v>
      </c>
      <c r="C5514" s="1" t="str">
        <f>HYPERLINK("http://продеталь.рф/search.html?article=RG3455","RG3455")</f>
        <v>RG3455</v>
      </c>
      <c r="D5514" t="s">
        <v>53</v>
      </c>
    </row>
    <row r="5515" spans="1:4" outlineLevel="1" x14ac:dyDescent="0.25">
      <c r="A5515" t="s">
        <v>661</v>
      </c>
      <c r="B5515" t="s">
        <v>54</v>
      </c>
      <c r="C5515" s="1" t="str">
        <f>HYPERLINK("http://продеталь.рф/search.html?article=7520011","7520011")</f>
        <v>7520011</v>
      </c>
      <c r="D5515" t="s">
        <v>46</v>
      </c>
    </row>
    <row r="5516" spans="1:4" outlineLevel="1" x14ac:dyDescent="0.25">
      <c r="A5516" t="s">
        <v>661</v>
      </c>
      <c r="B5516" t="s">
        <v>40</v>
      </c>
      <c r="C5516" s="1" t="str">
        <f>HYPERLINK("http://продеталь.рф/search.html?article=SD25000GA2","SD25000GA2")</f>
        <v>SD25000GA2</v>
      </c>
      <c r="D5516" t="s">
        <v>9</v>
      </c>
    </row>
    <row r="5517" spans="1:4" outlineLevel="1" x14ac:dyDescent="0.25">
      <c r="A5517" t="s">
        <v>661</v>
      </c>
      <c r="B5517" t="s">
        <v>40</v>
      </c>
      <c r="C5517" s="1" t="str">
        <f>HYPERLINK("http://продеталь.рф/search.html?article=SD25000GA1","SD25000GA1")</f>
        <v>SD25000GA1</v>
      </c>
      <c r="D5517" t="s">
        <v>9</v>
      </c>
    </row>
    <row r="5518" spans="1:4" outlineLevel="1" x14ac:dyDescent="0.25">
      <c r="A5518" t="s">
        <v>661</v>
      </c>
      <c r="B5518" t="s">
        <v>12</v>
      </c>
      <c r="C5518" s="1" t="str">
        <f>HYPERLINK("http://продеталь.рф/search.html?article=SD07002GA","SD07002GA")</f>
        <v>SD07002GA</v>
      </c>
      <c r="D5518" t="s">
        <v>2</v>
      </c>
    </row>
    <row r="5519" spans="1:4" outlineLevel="1" x14ac:dyDescent="0.25">
      <c r="A5519" t="s">
        <v>661</v>
      </c>
      <c r="B5519" t="s">
        <v>71</v>
      </c>
      <c r="C5519" s="1" t="str">
        <f>HYPERLINK("http://продеталь.рф/search.html?article=SD02001SA","SD02001SA")</f>
        <v>SD02001SA</v>
      </c>
      <c r="D5519" t="s">
        <v>2</v>
      </c>
    </row>
    <row r="5520" spans="1:4" outlineLevel="1" x14ac:dyDescent="0.25">
      <c r="A5520" t="s">
        <v>661</v>
      </c>
      <c r="B5520" t="s">
        <v>32</v>
      </c>
      <c r="C5520" s="1" t="str">
        <f>HYPERLINK("http://продеталь.рф/search.html?article=33200131","33200131")</f>
        <v>33200131</v>
      </c>
      <c r="D5520" t="s">
        <v>4</v>
      </c>
    </row>
    <row r="5521" spans="1:4" outlineLevel="1" x14ac:dyDescent="0.25">
      <c r="A5521" t="s">
        <v>661</v>
      </c>
      <c r="B5521" t="s">
        <v>16</v>
      </c>
      <c r="C5521" s="1" t="str">
        <f>HYPERLINK("http://продеталь.рф/search.html?article=180208012","180208012")</f>
        <v>180208012</v>
      </c>
      <c r="D5521" t="s">
        <v>4</v>
      </c>
    </row>
    <row r="5522" spans="1:4" outlineLevel="1" x14ac:dyDescent="0.25">
      <c r="A5522" t="s">
        <v>661</v>
      </c>
      <c r="B5522" t="s">
        <v>16</v>
      </c>
      <c r="C5522" s="1" t="str">
        <f>HYPERLINK("http://продеталь.рф/search.html?article=180207012","180207012")</f>
        <v>180207012</v>
      </c>
      <c r="D5522" t="s">
        <v>4</v>
      </c>
    </row>
    <row r="5523" spans="1:4" outlineLevel="1" x14ac:dyDescent="0.25">
      <c r="A5523" t="s">
        <v>661</v>
      </c>
      <c r="B5523" t="s">
        <v>16</v>
      </c>
      <c r="C5523" s="1" t="str">
        <f>HYPERLINK("http://продеталь.рф/search.html?article=185164012","185164012")</f>
        <v>185164012</v>
      </c>
      <c r="D5523" t="s">
        <v>4</v>
      </c>
    </row>
    <row r="5524" spans="1:4" outlineLevel="1" x14ac:dyDescent="0.25">
      <c r="A5524" t="s">
        <v>661</v>
      </c>
      <c r="B5524" t="s">
        <v>16</v>
      </c>
      <c r="C5524" s="1" t="str">
        <f>HYPERLINK("http://продеталь.рф/search.html?article=185163012","185163012")</f>
        <v>185163012</v>
      </c>
      <c r="D5524" t="s">
        <v>4</v>
      </c>
    </row>
    <row r="5525" spans="1:4" outlineLevel="1" x14ac:dyDescent="0.25">
      <c r="A5525" t="s">
        <v>661</v>
      </c>
      <c r="B5525" t="s">
        <v>13</v>
      </c>
      <c r="C5525" s="1" t="str">
        <f>HYPERLINK("http://продеталь.рф/search.html?article=SD25000R0","SD25000R0")</f>
        <v>SD25000R0</v>
      </c>
      <c r="D5525" t="s">
        <v>9</v>
      </c>
    </row>
    <row r="5526" spans="1:4" x14ac:dyDescent="0.25">
      <c r="A5526" t="s">
        <v>662</v>
      </c>
      <c r="B5526" s="2" t="s">
        <v>662</v>
      </c>
      <c r="C5526" s="2"/>
      <c r="D5526" s="2"/>
    </row>
    <row r="5527" spans="1:4" outlineLevel="1" x14ac:dyDescent="0.25">
      <c r="A5527" t="s">
        <v>662</v>
      </c>
      <c r="B5527" t="s">
        <v>15</v>
      </c>
      <c r="C5527" s="1" t="str">
        <f>HYPERLINK("http://продеталь.рф/search.html?article=SD26941EB1","SD26941EB1")</f>
        <v>SD26941EB1</v>
      </c>
      <c r="D5527" t="s">
        <v>9</v>
      </c>
    </row>
    <row r="5528" spans="1:4" outlineLevel="1" x14ac:dyDescent="0.25">
      <c r="A5528" t="s">
        <v>662</v>
      </c>
      <c r="B5528" t="s">
        <v>86</v>
      </c>
      <c r="C5528" s="1" t="str">
        <f>HYPERLINK("http://продеталь.рф/search.html?article=PSD43002AL","PSD43002AL")</f>
        <v>PSD43002AL</v>
      </c>
      <c r="D5528" t="s">
        <v>6</v>
      </c>
    </row>
    <row r="5529" spans="1:4" outlineLevel="1" x14ac:dyDescent="0.25">
      <c r="A5529" t="s">
        <v>662</v>
      </c>
      <c r="B5529" t="s">
        <v>86</v>
      </c>
      <c r="C5529" s="1" t="str">
        <f>HYPERLINK("http://продеталь.рф/search.html?article=PSD43002AR","PSD43002AR")</f>
        <v>PSD43002AR</v>
      </c>
      <c r="D5529" t="s">
        <v>6</v>
      </c>
    </row>
    <row r="5530" spans="1:4" outlineLevel="1" x14ac:dyDescent="0.25">
      <c r="A5530" t="s">
        <v>662</v>
      </c>
      <c r="B5530" t="s">
        <v>84</v>
      </c>
      <c r="C5530" s="1" t="str">
        <f>HYPERLINK("http://продеталь.рф/search.html?article=PSD43001AL","PSD43001AL")</f>
        <v>PSD43001AL</v>
      </c>
      <c r="D5530" t="s">
        <v>6</v>
      </c>
    </row>
    <row r="5531" spans="1:4" outlineLevel="1" x14ac:dyDescent="0.25">
      <c r="A5531" t="s">
        <v>662</v>
      </c>
      <c r="B5531" t="s">
        <v>84</v>
      </c>
      <c r="C5531" s="1" t="str">
        <f>HYPERLINK("http://продеталь.рф/search.html?article=PSD43001AR","PSD43001AR")</f>
        <v>PSD43001AR</v>
      </c>
      <c r="D5531" t="s">
        <v>6</v>
      </c>
    </row>
    <row r="5532" spans="1:4" outlineLevel="1" x14ac:dyDescent="0.25">
      <c r="A5532" t="s">
        <v>662</v>
      </c>
      <c r="B5532" t="s">
        <v>24</v>
      </c>
      <c r="C5532" s="1" t="str">
        <f>HYPERLINK("http://продеталь.рф/search.html?article=SD10008AR","SD10008AR")</f>
        <v>SD10008AR</v>
      </c>
      <c r="D5532" t="s">
        <v>99</v>
      </c>
    </row>
    <row r="5533" spans="1:4" outlineLevel="1" x14ac:dyDescent="0.25">
      <c r="A5533" t="s">
        <v>662</v>
      </c>
      <c r="B5533" t="s">
        <v>24</v>
      </c>
      <c r="C5533" s="1" t="str">
        <f>HYPERLINK("http://продеталь.рф/search.html?article=SD10010AR","SD10010AR")</f>
        <v>SD10010AR</v>
      </c>
      <c r="D5533" t="s">
        <v>2</v>
      </c>
    </row>
    <row r="5534" spans="1:4" outlineLevel="1" x14ac:dyDescent="0.25">
      <c r="A5534" t="s">
        <v>662</v>
      </c>
      <c r="B5534" t="s">
        <v>240</v>
      </c>
      <c r="C5534" s="1" t="str">
        <f>HYPERLINK("http://продеталь.рф/search.html?article=VSDM1004DLE","VSDM1004DLE")</f>
        <v>VSDM1004DLE</v>
      </c>
      <c r="D5534" t="s">
        <v>6</v>
      </c>
    </row>
    <row r="5535" spans="1:4" outlineLevel="1" x14ac:dyDescent="0.25">
      <c r="A5535" t="s">
        <v>662</v>
      </c>
      <c r="B5535" t="s">
        <v>240</v>
      </c>
      <c r="C5535" s="1" t="str">
        <f>HYPERLINK("http://продеталь.рф/search.html?article=VSDM1004DRE","VSDM1004DRE")</f>
        <v>VSDM1004DRE</v>
      </c>
      <c r="D5535" t="s">
        <v>6</v>
      </c>
    </row>
    <row r="5536" spans="1:4" outlineLevel="1" x14ac:dyDescent="0.25">
      <c r="A5536" t="s">
        <v>662</v>
      </c>
      <c r="B5536" t="s">
        <v>103</v>
      </c>
      <c r="C5536" s="1" t="str">
        <f>HYPERLINK("http://продеталь.рф/search.html?article=SD99001CAL","SD99001CAL")</f>
        <v>SD99001CAL</v>
      </c>
      <c r="D5536" t="s">
        <v>2</v>
      </c>
    </row>
    <row r="5537" spans="1:4" outlineLevel="1" x14ac:dyDescent="0.25">
      <c r="A5537" t="s">
        <v>662</v>
      </c>
      <c r="B5537" t="s">
        <v>27</v>
      </c>
      <c r="C5537" s="1" t="str">
        <f>HYPERLINK("http://продеталь.рф/search.html?article=SD260090","SD260090")</f>
        <v>SD260090</v>
      </c>
      <c r="D5537" t="s">
        <v>9</v>
      </c>
    </row>
    <row r="5538" spans="1:4" outlineLevel="1" x14ac:dyDescent="0.25">
      <c r="A5538" t="s">
        <v>662</v>
      </c>
      <c r="B5538" t="s">
        <v>3</v>
      </c>
      <c r="C5538" s="1" t="str">
        <f>HYPERLINK("http://продеталь.рф/search.html?article=200669052","200669052")</f>
        <v>200669052</v>
      </c>
      <c r="D5538" t="s">
        <v>4</v>
      </c>
    </row>
    <row r="5539" spans="1:4" outlineLevel="1" x14ac:dyDescent="0.25">
      <c r="A5539" t="s">
        <v>662</v>
      </c>
      <c r="B5539" t="s">
        <v>3</v>
      </c>
      <c r="C5539" s="1" t="str">
        <f>HYPERLINK("http://продеталь.рф/search.html?article=200670052","200670052")</f>
        <v>200670052</v>
      </c>
      <c r="D5539" t="s">
        <v>4</v>
      </c>
    </row>
    <row r="5540" spans="1:4" outlineLevel="1" x14ac:dyDescent="0.25">
      <c r="A5540" t="s">
        <v>662</v>
      </c>
      <c r="B5540" t="s">
        <v>3</v>
      </c>
      <c r="C5540" s="1" t="str">
        <f>HYPERLINK("http://продеталь.рф/search.html?article=20B889052B","20B889052B")</f>
        <v>20B889052B</v>
      </c>
      <c r="D5540" t="s">
        <v>4</v>
      </c>
    </row>
    <row r="5541" spans="1:4" outlineLevel="1" x14ac:dyDescent="0.25">
      <c r="A5541" t="s">
        <v>662</v>
      </c>
      <c r="B5541" t="s">
        <v>5</v>
      </c>
      <c r="C5541" s="1" t="str">
        <f>HYPERLINK("http://продеталь.рф/search.html?article=211733B","211733B")</f>
        <v>211733B</v>
      </c>
      <c r="D5541" t="s">
        <v>21</v>
      </c>
    </row>
    <row r="5542" spans="1:4" outlineLevel="1" x14ac:dyDescent="0.25">
      <c r="A5542" t="s">
        <v>662</v>
      </c>
      <c r="B5542" t="s">
        <v>19</v>
      </c>
      <c r="C5542" s="1" t="str">
        <f>HYPERLINK("http://продеталь.рф/search.html?article=19047700","19047700")</f>
        <v>19047700</v>
      </c>
      <c r="D5542" t="s">
        <v>4</v>
      </c>
    </row>
    <row r="5543" spans="1:4" outlineLevel="1" x14ac:dyDescent="0.25">
      <c r="A5543" t="s">
        <v>662</v>
      </c>
      <c r="B5543" t="s">
        <v>19</v>
      </c>
      <c r="C5543" s="1" t="str">
        <f>HYPERLINK("http://продеталь.рф/search.html?article=ZSD2003R","ZSD2003R")</f>
        <v>ZSD2003R</v>
      </c>
      <c r="D5543" t="s">
        <v>6</v>
      </c>
    </row>
    <row r="5544" spans="1:4" outlineLevel="1" x14ac:dyDescent="0.25">
      <c r="A5544" t="s">
        <v>662</v>
      </c>
      <c r="B5544" t="s">
        <v>19</v>
      </c>
      <c r="C5544" s="1" t="str">
        <f>HYPERLINK("http://продеталь.рф/search.html?article=190830012","190830012")</f>
        <v>190830012</v>
      </c>
      <c r="D5544" t="s">
        <v>4</v>
      </c>
    </row>
    <row r="5545" spans="1:4" outlineLevel="1" x14ac:dyDescent="0.25">
      <c r="A5545" t="s">
        <v>662</v>
      </c>
      <c r="B5545" t="s">
        <v>19</v>
      </c>
      <c r="C5545" s="1" t="str">
        <f>HYPERLINK("http://продеталь.рф/search.html?article=190829012","190829012")</f>
        <v>190829012</v>
      </c>
      <c r="D5545" t="s">
        <v>4</v>
      </c>
    </row>
    <row r="5546" spans="1:4" outlineLevel="1" x14ac:dyDescent="0.25">
      <c r="A5546" t="s">
        <v>662</v>
      </c>
      <c r="B5546" t="s">
        <v>40</v>
      </c>
      <c r="C5546" s="1" t="str">
        <f>HYPERLINK("http://продеталь.рф/search.html?article=SD07010GAR","SD07010GAR")</f>
        <v>SD07010GAR</v>
      </c>
      <c r="D5546" t="s">
        <v>2</v>
      </c>
    </row>
    <row r="5547" spans="1:4" outlineLevel="1" x14ac:dyDescent="0.25">
      <c r="A5547" t="s">
        <v>662</v>
      </c>
      <c r="B5547" t="s">
        <v>40</v>
      </c>
      <c r="C5547" s="1" t="str">
        <f>HYPERLINK("http://продеталь.рф/search.html?article=SD07016GAL","SD07016GAL")</f>
        <v>SD07016GAL</v>
      </c>
      <c r="D5547" t="s">
        <v>2</v>
      </c>
    </row>
    <row r="5548" spans="1:4" outlineLevel="1" x14ac:dyDescent="0.25">
      <c r="A5548" t="s">
        <v>662</v>
      </c>
      <c r="B5548" t="s">
        <v>12</v>
      </c>
      <c r="C5548" s="1" t="str">
        <f>HYPERLINK("http://продеталь.рф/search.html?article=SD26009301000","SD26009301000")</f>
        <v>SD26009301000</v>
      </c>
      <c r="D5548" t="s">
        <v>9</v>
      </c>
    </row>
    <row r="5549" spans="1:4" outlineLevel="1" x14ac:dyDescent="0.25">
      <c r="A5549" t="s">
        <v>662</v>
      </c>
      <c r="B5549" t="s">
        <v>71</v>
      </c>
      <c r="C5549" s="1" t="str">
        <f>HYPERLINK("http://продеталь.рф/search.html?article=SD05001VA","SD05001VA")</f>
        <v>SD05001VA</v>
      </c>
      <c r="D5549" t="s">
        <v>99</v>
      </c>
    </row>
    <row r="5550" spans="1:4" outlineLevel="1" x14ac:dyDescent="0.25">
      <c r="A5550" t="s">
        <v>662</v>
      </c>
      <c r="B5550" t="s">
        <v>32</v>
      </c>
      <c r="C5550" s="1" t="str">
        <f>HYPERLINK("http://продеталь.рф/search.html?article=SSDM1004AGLE","SSDM1004AGLE")</f>
        <v>SSDM1004AGLE</v>
      </c>
      <c r="D5550" t="s">
        <v>6</v>
      </c>
    </row>
    <row r="5551" spans="1:4" outlineLevel="1" x14ac:dyDescent="0.25">
      <c r="A5551" t="s">
        <v>662</v>
      </c>
      <c r="B5551" t="s">
        <v>13</v>
      </c>
      <c r="C5551" s="1" t="str">
        <f>HYPERLINK("http://продеталь.рф/search.html?article=PSD34008A","PSD34008A")</f>
        <v>PSD34008A</v>
      </c>
      <c r="D5551" t="s">
        <v>6</v>
      </c>
    </row>
    <row r="5552" spans="1:4" x14ac:dyDescent="0.25">
      <c r="A5552" t="s">
        <v>663</v>
      </c>
      <c r="B5552" s="2" t="s">
        <v>663</v>
      </c>
      <c r="C5552" s="2"/>
      <c r="D5552" s="2"/>
    </row>
    <row r="5553" spans="1:4" outlineLevel="1" x14ac:dyDescent="0.25">
      <c r="A5553" t="s">
        <v>663</v>
      </c>
      <c r="B5553" t="s">
        <v>27</v>
      </c>
      <c r="C5553" s="1" t="str">
        <f>HYPERLINK("http://продеталь.рф/search.html?article=PSD30002B","PSD30002B")</f>
        <v>PSD30002B</v>
      </c>
      <c r="D5553" t="s">
        <v>6</v>
      </c>
    </row>
    <row r="5554" spans="1:4" outlineLevel="1" x14ac:dyDescent="0.25">
      <c r="A5554" t="s">
        <v>663</v>
      </c>
      <c r="B5554" t="s">
        <v>5</v>
      </c>
      <c r="C5554" s="1" t="str">
        <f>HYPERLINK("http://продеталь.рф/search.html?article=SD11012AL","SD11012AL")</f>
        <v>SD11012AL</v>
      </c>
      <c r="D5554" t="s">
        <v>2</v>
      </c>
    </row>
    <row r="5555" spans="1:4" outlineLevel="1" x14ac:dyDescent="0.25">
      <c r="A5555" t="s">
        <v>663</v>
      </c>
      <c r="B5555" t="s">
        <v>5</v>
      </c>
      <c r="C5555" s="1" t="str">
        <f>HYPERLINK("http://продеталь.рф/search.html?article=PSD11012AR","PSD11012AR")</f>
        <v>PSD11012AR</v>
      </c>
      <c r="D5555" t="s">
        <v>6</v>
      </c>
    </row>
    <row r="5556" spans="1:4" x14ac:dyDescent="0.25">
      <c r="A5556" t="s">
        <v>664</v>
      </c>
      <c r="B5556" s="2" t="s">
        <v>664</v>
      </c>
      <c r="C5556" s="2"/>
      <c r="D5556" s="2"/>
    </row>
    <row r="5557" spans="1:4" outlineLevel="1" x14ac:dyDescent="0.25">
      <c r="A5557" t="s">
        <v>664</v>
      </c>
      <c r="B5557" t="s">
        <v>27</v>
      </c>
      <c r="C5557" s="1" t="str">
        <f>HYPERLINK("http://продеталь.рф/search.html?article=PSD30009A","PSD30009A")</f>
        <v>PSD30009A</v>
      </c>
      <c r="D5557" t="s">
        <v>6</v>
      </c>
    </row>
    <row r="5558" spans="1:4" x14ac:dyDescent="0.25">
      <c r="A5558" t="s">
        <v>665</v>
      </c>
      <c r="B5558" s="2" t="s">
        <v>665</v>
      </c>
      <c r="C5558" s="2"/>
      <c r="D5558" s="2"/>
    </row>
    <row r="5559" spans="1:4" outlineLevel="1" x14ac:dyDescent="0.25">
      <c r="A5559" t="s">
        <v>665</v>
      </c>
      <c r="B5559" t="s">
        <v>159</v>
      </c>
      <c r="C5559" s="1" t="str">
        <f>HYPERLINK("http://продеталь.рф/search.html?article=SB653930","SB653930")</f>
        <v>SB653930</v>
      </c>
      <c r="D5559" t="s">
        <v>9</v>
      </c>
    </row>
    <row r="5560" spans="1:4" outlineLevel="1" x14ac:dyDescent="0.25">
      <c r="A5560" t="s">
        <v>665</v>
      </c>
      <c r="B5560" t="s">
        <v>1</v>
      </c>
      <c r="C5560" s="1" t="str">
        <f>HYPERLINK("http://продеталь.рф/search.html?article=SB65015A0","SB65015A0")</f>
        <v>SB65015A0</v>
      </c>
      <c r="D5560" t="s">
        <v>9</v>
      </c>
    </row>
    <row r="5561" spans="1:4" outlineLevel="1" x14ac:dyDescent="0.25">
      <c r="A5561" t="s">
        <v>665</v>
      </c>
      <c r="B5561" t="s">
        <v>24</v>
      </c>
      <c r="C5561" s="1" t="str">
        <f>HYPERLINK("http://продеталь.рф/search.html?article=SB65016B1","SB65016B1")</f>
        <v>SB65016B1</v>
      </c>
      <c r="D5561" t="s">
        <v>9</v>
      </c>
    </row>
    <row r="5562" spans="1:4" outlineLevel="1" x14ac:dyDescent="0.25">
      <c r="A5562" t="s">
        <v>665</v>
      </c>
      <c r="B5562" t="s">
        <v>3</v>
      </c>
      <c r="C5562" s="1" t="str">
        <f>HYPERLINK("http://продеталь.рф/search.html?article=206459A01A","206459A01A")</f>
        <v>206459A01A</v>
      </c>
      <c r="D5562" t="s">
        <v>4</v>
      </c>
    </row>
    <row r="5563" spans="1:4" outlineLevel="1" x14ac:dyDescent="0.25">
      <c r="A5563" t="s">
        <v>665</v>
      </c>
      <c r="B5563" t="s">
        <v>3</v>
      </c>
      <c r="C5563" s="1" t="str">
        <f>HYPERLINK("http://продеталь.рф/search.html?article=206460A01A","206460A01A")</f>
        <v>206460A01A</v>
      </c>
      <c r="D5563" t="s">
        <v>4</v>
      </c>
    </row>
    <row r="5564" spans="1:4" outlineLevel="1" x14ac:dyDescent="0.25">
      <c r="A5564" t="s">
        <v>665</v>
      </c>
      <c r="B5564" t="s">
        <v>5</v>
      </c>
      <c r="C5564" s="1" t="str">
        <f>HYPERLINK("http://продеталь.рф/search.html?article=SB65016L2","SB65016L2")</f>
        <v>SB65016L2</v>
      </c>
      <c r="D5564" t="s">
        <v>9</v>
      </c>
    </row>
    <row r="5565" spans="1:4" outlineLevel="1" x14ac:dyDescent="0.25">
      <c r="A5565" t="s">
        <v>665</v>
      </c>
      <c r="B5565" t="s">
        <v>5</v>
      </c>
      <c r="C5565" s="1" t="str">
        <f>HYPERLINK("http://продеталь.рф/search.html?article=SB65016L1","SB65016L1")</f>
        <v>SB65016L1</v>
      </c>
      <c r="D5565" t="s">
        <v>9</v>
      </c>
    </row>
    <row r="5566" spans="1:4" outlineLevel="1" x14ac:dyDescent="0.25">
      <c r="A5566" t="s">
        <v>665</v>
      </c>
      <c r="B5566" t="s">
        <v>8</v>
      </c>
      <c r="C5566" s="1" t="str">
        <f>HYPERLINK("http://продеталь.рф/search.html?article=606SB2010","606SB2010")</f>
        <v>606SB2010</v>
      </c>
      <c r="D5566" t="s">
        <v>4</v>
      </c>
    </row>
    <row r="5567" spans="1:4" outlineLevel="1" x14ac:dyDescent="0.25">
      <c r="A5567" t="s">
        <v>665</v>
      </c>
      <c r="B5567" t="s">
        <v>12</v>
      </c>
      <c r="C5567" s="1" t="str">
        <f>HYPERLINK("http://продеталь.рф/search.html?article=SBFOR99100B","SBFOR99100B")</f>
        <v>SBFOR99100B</v>
      </c>
      <c r="D5567" t="s">
        <v>34</v>
      </c>
    </row>
    <row r="5568" spans="1:4" outlineLevel="1" x14ac:dyDescent="0.25">
      <c r="A5568" t="s">
        <v>665</v>
      </c>
      <c r="B5568" t="s">
        <v>16</v>
      </c>
      <c r="C5568" s="1" t="str">
        <f>HYPERLINK("http://продеталь.рф/search.html?article=185927001A","185927001A")</f>
        <v>185927001A</v>
      </c>
      <c r="D5568" t="s">
        <v>4</v>
      </c>
    </row>
    <row r="5569" spans="1:4" outlineLevel="1" x14ac:dyDescent="0.25">
      <c r="A5569" t="s">
        <v>665</v>
      </c>
      <c r="B5569" t="s">
        <v>16</v>
      </c>
      <c r="C5569" s="1" t="str">
        <f>HYPERLINK("http://продеталь.рф/search.html?article=185926001A","185926001A")</f>
        <v>185926001A</v>
      </c>
      <c r="D5569" t="s">
        <v>4</v>
      </c>
    </row>
    <row r="5570" spans="1:4" x14ac:dyDescent="0.25">
      <c r="A5570" t="s">
        <v>666</v>
      </c>
      <c r="B5570" s="2" t="s">
        <v>666</v>
      </c>
      <c r="C5570" s="2"/>
      <c r="D5570" s="2"/>
    </row>
    <row r="5571" spans="1:4" outlineLevel="1" x14ac:dyDescent="0.25">
      <c r="A5571" t="s">
        <v>666</v>
      </c>
      <c r="B5571" t="s">
        <v>11</v>
      </c>
      <c r="C5571" s="1" t="str">
        <f>HYPERLINK("http://продеталь.рф/search.html?article=SB04025BC","SB04025BC")</f>
        <v>SB04025BC</v>
      </c>
      <c r="D5571" t="s">
        <v>2</v>
      </c>
    </row>
    <row r="5572" spans="1:4" outlineLevel="1" x14ac:dyDescent="0.25">
      <c r="A5572" t="s">
        <v>666</v>
      </c>
      <c r="B5572" t="s">
        <v>79</v>
      </c>
      <c r="C5572" s="1" t="str">
        <f>HYPERLINK("http://продеталь.рф/search.html?article=SB66000400000","SB66000400000")</f>
        <v>SB66000400000</v>
      </c>
      <c r="D5572" t="s">
        <v>9</v>
      </c>
    </row>
    <row r="5573" spans="1:4" outlineLevel="1" x14ac:dyDescent="0.25">
      <c r="A5573" t="s">
        <v>666</v>
      </c>
      <c r="B5573" t="s">
        <v>1</v>
      </c>
      <c r="C5573" s="1" t="str">
        <f>HYPERLINK("http://продеталь.рф/search.html?article=PSB20016B","PSB20016B")</f>
        <v>PSB20016B</v>
      </c>
      <c r="D5573" t="s">
        <v>6</v>
      </c>
    </row>
    <row r="5574" spans="1:4" outlineLevel="1" x14ac:dyDescent="0.25">
      <c r="A5574" t="s">
        <v>666</v>
      </c>
      <c r="B5574" t="s">
        <v>1</v>
      </c>
      <c r="C5574" s="1" t="str">
        <f>HYPERLINK("http://продеталь.рф/search.html?article=SB20022B","SB20022B")</f>
        <v>SB20022B</v>
      </c>
      <c r="D5574" t="s">
        <v>2</v>
      </c>
    </row>
    <row r="5575" spans="1:4" outlineLevel="1" x14ac:dyDescent="0.25">
      <c r="A5575" t="s">
        <v>666</v>
      </c>
      <c r="B5575" t="s">
        <v>27</v>
      </c>
      <c r="C5575" s="1" t="str">
        <f>HYPERLINK("http://продеталь.рф/search.html?article=SB30012A","SB30012A")</f>
        <v>SB30012A</v>
      </c>
      <c r="D5575" t="s">
        <v>2</v>
      </c>
    </row>
    <row r="5576" spans="1:4" outlineLevel="1" x14ac:dyDescent="0.25">
      <c r="A5576" t="s">
        <v>666</v>
      </c>
      <c r="B5576" t="s">
        <v>3</v>
      </c>
      <c r="C5576" s="1" t="str">
        <f>HYPERLINK("http://продеталь.рф/search.html?article=206433001A","206433001A")</f>
        <v>206433001A</v>
      </c>
      <c r="D5576" t="s">
        <v>4</v>
      </c>
    </row>
    <row r="5577" spans="1:4" outlineLevel="1" x14ac:dyDescent="0.25">
      <c r="A5577" t="s">
        <v>666</v>
      </c>
      <c r="B5577" t="s">
        <v>5</v>
      </c>
      <c r="C5577" s="1" t="str">
        <f>HYPERLINK("http://продеталь.рф/search.html?article=SB66016L2","SB66016L2")</f>
        <v>SB66016L2</v>
      </c>
      <c r="D5577" t="s">
        <v>9</v>
      </c>
    </row>
    <row r="5578" spans="1:4" outlineLevel="1" x14ac:dyDescent="0.25">
      <c r="A5578" t="s">
        <v>666</v>
      </c>
      <c r="B5578" t="s">
        <v>5</v>
      </c>
      <c r="C5578" s="1" t="str">
        <f>HYPERLINK("http://продеталь.рф/search.html?article=SB66016L1","SB66016L1")</f>
        <v>SB66016L1</v>
      </c>
      <c r="D5578" t="s">
        <v>9</v>
      </c>
    </row>
    <row r="5579" spans="1:4" outlineLevel="1" x14ac:dyDescent="0.25">
      <c r="A5579" t="s">
        <v>666</v>
      </c>
      <c r="B5579" t="s">
        <v>19</v>
      </c>
      <c r="C5579" s="1" t="str">
        <f>HYPERLINK("http://продеталь.рф/search.html?article=19577600","19577600")</f>
        <v>19577600</v>
      </c>
      <c r="D5579" t="s">
        <v>4</v>
      </c>
    </row>
    <row r="5580" spans="1:4" outlineLevel="1" x14ac:dyDescent="0.25">
      <c r="A5580" t="s">
        <v>666</v>
      </c>
      <c r="B5580" t="s">
        <v>19</v>
      </c>
      <c r="C5580" s="1" t="str">
        <f>HYPERLINK("http://продеталь.рф/search.html?article=19577500","19577500")</f>
        <v>19577500</v>
      </c>
      <c r="D5580" t="s">
        <v>4</v>
      </c>
    </row>
    <row r="5581" spans="1:4" outlineLevel="1" x14ac:dyDescent="0.25">
      <c r="A5581" t="s">
        <v>666</v>
      </c>
      <c r="B5581" t="s">
        <v>28</v>
      </c>
      <c r="C5581" s="1" t="str">
        <f>HYPERLINK("http://продеталь.рф/search.html?article=RA67712","RA67712")</f>
        <v>RA67712</v>
      </c>
      <c r="D5581" t="s">
        <v>6</v>
      </c>
    </row>
    <row r="5582" spans="1:4" outlineLevel="1" x14ac:dyDescent="0.25">
      <c r="A5582" t="s">
        <v>666</v>
      </c>
      <c r="B5582" t="s">
        <v>8</v>
      </c>
      <c r="C5582" s="1" t="str">
        <f>HYPERLINK("http://продеталь.рф/search.html?article=606SB2011","606SB2011")</f>
        <v>606SB2011</v>
      </c>
      <c r="D5582" t="s">
        <v>4</v>
      </c>
    </row>
    <row r="5583" spans="1:4" outlineLevel="1" x14ac:dyDescent="0.25">
      <c r="A5583" t="s">
        <v>666</v>
      </c>
      <c r="B5583" t="s">
        <v>12</v>
      </c>
      <c r="C5583" s="1" t="str">
        <f>HYPERLINK("http://продеталь.рф/search.html?article=PSB07038GA","PSB07038GA")</f>
        <v>PSB07038GA</v>
      </c>
      <c r="D5583" t="s">
        <v>6</v>
      </c>
    </row>
    <row r="5584" spans="1:4" outlineLevel="1" x14ac:dyDescent="0.25">
      <c r="A5584" t="s">
        <v>666</v>
      </c>
      <c r="B5584" t="s">
        <v>118</v>
      </c>
      <c r="C5584" s="1" t="str">
        <f>HYPERLINK("http://продеталь.рф/search.html?article=SSB2005LR","SSB2005LR")</f>
        <v>SSB2005LR</v>
      </c>
      <c r="D5584" t="s">
        <v>63</v>
      </c>
    </row>
    <row r="5585" spans="1:4" outlineLevel="1" x14ac:dyDescent="0.25">
      <c r="A5585" t="s">
        <v>666</v>
      </c>
      <c r="B5585" t="s">
        <v>13</v>
      </c>
      <c r="C5585" s="1" t="str">
        <f>HYPERLINK("http://продеталь.рф/search.html?article=PSB44025A","PSB44025A")</f>
        <v>PSB44025A</v>
      </c>
      <c r="D5585" t="s">
        <v>6</v>
      </c>
    </row>
    <row r="5586" spans="1:4" x14ac:dyDescent="0.25">
      <c r="A5586" t="s">
        <v>667</v>
      </c>
      <c r="B5586" s="2" t="s">
        <v>667</v>
      </c>
      <c r="C5586" s="2"/>
      <c r="D5586" s="2"/>
    </row>
    <row r="5587" spans="1:4" outlineLevel="1" x14ac:dyDescent="0.25">
      <c r="A5587" t="s">
        <v>667</v>
      </c>
      <c r="B5587" t="s">
        <v>11</v>
      </c>
      <c r="C5587" s="1" t="str">
        <f>HYPERLINK("http://продеталь.рф/search.html?article=SB66100000100","SB66100000100")</f>
        <v>SB66100000100</v>
      </c>
      <c r="D5587" t="s">
        <v>9</v>
      </c>
    </row>
    <row r="5588" spans="1:4" outlineLevel="1" x14ac:dyDescent="0.25">
      <c r="A5588" t="s">
        <v>667</v>
      </c>
      <c r="B5588" t="s">
        <v>11</v>
      </c>
      <c r="C5588" s="1" t="str">
        <f>HYPERLINK("http://продеталь.рф/search.html?article=SB04037BA","SB04037BA")</f>
        <v>SB04037BA</v>
      </c>
      <c r="D5588" t="s">
        <v>2</v>
      </c>
    </row>
    <row r="5589" spans="1:4" outlineLevel="1" x14ac:dyDescent="0.25">
      <c r="A5589" t="s">
        <v>667</v>
      </c>
      <c r="B5589" t="s">
        <v>15</v>
      </c>
      <c r="C5589" s="1" t="str">
        <f>HYPERLINK("http://продеталь.рф/search.html?article=SBM1007BL","SBM1007BL")</f>
        <v>SBM1007BL</v>
      </c>
      <c r="D5589" t="s">
        <v>2</v>
      </c>
    </row>
    <row r="5590" spans="1:4" outlineLevel="1" x14ac:dyDescent="0.25">
      <c r="A5590" t="s">
        <v>667</v>
      </c>
      <c r="B5590" t="s">
        <v>159</v>
      </c>
      <c r="C5590" s="1" t="str">
        <f>HYPERLINK("http://продеталь.рф/search.html?article=RDSB67004A0","RDSB67004A0")</f>
        <v>RDSB67004A0</v>
      </c>
      <c r="D5590" t="s">
        <v>6</v>
      </c>
    </row>
    <row r="5591" spans="1:4" outlineLevel="1" x14ac:dyDescent="0.25">
      <c r="A5591" t="s">
        <v>667</v>
      </c>
      <c r="B5591" t="s">
        <v>79</v>
      </c>
      <c r="C5591" s="1" t="str">
        <f>HYPERLINK("http://продеталь.рф/search.html?article=682SBR006","682SBR006")</f>
        <v>682SBR006</v>
      </c>
      <c r="D5591" t="s">
        <v>4</v>
      </c>
    </row>
    <row r="5592" spans="1:4" outlineLevel="1" x14ac:dyDescent="0.25">
      <c r="A5592" t="s">
        <v>667</v>
      </c>
      <c r="B5592" t="s">
        <v>23</v>
      </c>
      <c r="C5592" s="1" t="str">
        <f>HYPERLINK("http://продеталь.рф/search.html?article=116338011A","116338011A")</f>
        <v>116338011A</v>
      </c>
      <c r="D5592" t="s">
        <v>4</v>
      </c>
    </row>
    <row r="5593" spans="1:4" outlineLevel="1" x14ac:dyDescent="0.25">
      <c r="A5593" t="s">
        <v>667</v>
      </c>
      <c r="B5593" t="s">
        <v>1</v>
      </c>
      <c r="C5593" s="1" t="str">
        <f>HYPERLINK("http://продеталь.рф/search.html?article=PSB20021A","PSB20021A")</f>
        <v>PSB20021A</v>
      </c>
      <c r="D5593" t="s">
        <v>6</v>
      </c>
    </row>
    <row r="5594" spans="1:4" outlineLevel="1" x14ac:dyDescent="0.25">
      <c r="A5594" t="s">
        <v>667</v>
      </c>
      <c r="B5594" t="s">
        <v>27</v>
      </c>
      <c r="C5594" s="1" t="str">
        <f>HYPERLINK("http://продеталь.рф/search.html?article=SB66100900000","SB66100900000")</f>
        <v>SB66100900000</v>
      </c>
      <c r="D5594" t="s">
        <v>9</v>
      </c>
    </row>
    <row r="5595" spans="1:4" outlineLevel="1" x14ac:dyDescent="0.25">
      <c r="A5595" t="s">
        <v>667</v>
      </c>
      <c r="B5595" t="s">
        <v>3</v>
      </c>
      <c r="C5595" s="1" t="str">
        <f>HYPERLINK("http://продеталь.рф/search.html?article=209038001A","209038001A")</f>
        <v>209038001A</v>
      </c>
      <c r="D5595" t="s">
        <v>4</v>
      </c>
    </row>
    <row r="5596" spans="1:4" outlineLevel="1" x14ac:dyDescent="0.25">
      <c r="A5596" t="s">
        <v>667</v>
      </c>
      <c r="B5596" t="s">
        <v>3</v>
      </c>
      <c r="C5596" s="1" t="str">
        <f>HYPERLINK("http://продеталь.рф/search.html?article=209037001A","209037001A")</f>
        <v>209037001A</v>
      </c>
      <c r="D5596" t="s">
        <v>4</v>
      </c>
    </row>
    <row r="5597" spans="1:4" outlineLevel="1" x14ac:dyDescent="0.25">
      <c r="A5597" t="s">
        <v>667</v>
      </c>
      <c r="B5597" t="s">
        <v>5</v>
      </c>
      <c r="C5597" s="1" t="str">
        <f>HYPERLINK("http://продеталь.рф/search.html?article=SB11024AL","SB11024AL")</f>
        <v>SB11024AL</v>
      </c>
      <c r="D5597" t="s">
        <v>2</v>
      </c>
    </row>
    <row r="5598" spans="1:4" outlineLevel="1" x14ac:dyDescent="0.25">
      <c r="A5598" t="s">
        <v>667</v>
      </c>
      <c r="B5598" t="s">
        <v>5</v>
      </c>
      <c r="C5598" s="1" t="str">
        <f>HYPERLINK("http://продеталь.рф/search.html?article=SB11024AR","SB11024AR")</f>
        <v>SB11024AR</v>
      </c>
      <c r="D5598" t="s">
        <v>2</v>
      </c>
    </row>
    <row r="5599" spans="1:4" outlineLevel="1" x14ac:dyDescent="0.25">
      <c r="A5599" t="s">
        <v>667</v>
      </c>
      <c r="B5599" t="s">
        <v>19</v>
      </c>
      <c r="C5599" s="1" t="str">
        <f>HYPERLINK("http://продеталь.рф/search.html?article=195964001A","195964001A")</f>
        <v>195964001A</v>
      </c>
      <c r="D5599" t="s">
        <v>4</v>
      </c>
    </row>
    <row r="5600" spans="1:4" outlineLevel="1" x14ac:dyDescent="0.25">
      <c r="A5600" t="s">
        <v>667</v>
      </c>
      <c r="B5600" t="s">
        <v>19</v>
      </c>
      <c r="C5600" s="1" t="str">
        <f>HYPERLINK("http://продеталь.рф/search.html?article=195963001A","195963001A")</f>
        <v>195963001A</v>
      </c>
      <c r="D5600" t="s">
        <v>4</v>
      </c>
    </row>
    <row r="5601" spans="1:4" outlineLevel="1" x14ac:dyDescent="0.25">
      <c r="A5601" t="s">
        <v>667</v>
      </c>
      <c r="B5601" t="s">
        <v>28</v>
      </c>
      <c r="C5601" s="1" t="str">
        <f>HYPERLINK("http://продеталь.рф/search.html?article=RA67714","RA67714")</f>
        <v>RA67714</v>
      </c>
      <c r="D5601" t="s">
        <v>6</v>
      </c>
    </row>
    <row r="5602" spans="1:4" outlineLevel="1" x14ac:dyDescent="0.25">
      <c r="A5602" t="s">
        <v>667</v>
      </c>
      <c r="B5602" t="s">
        <v>12</v>
      </c>
      <c r="C5602" s="1" t="str">
        <f>HYPERLINK("http://продеталь.рф/search.html?article=312SB0025","312SB0025")</f>
        <v>312SB0025</v>
      </c>
      <c r="D5602" t="s">
        <v>4</v>
      </c>
    </row>
    <row r="5603" spans="1:4" x14ac:dyDescent="0.25">
      <c r="A5603" t="s">
        <v>668</v>
      </c>
      <c r="B5603" s="2" t="s">
        <v>668</v>
      </c>
      <c r="C5603" s="2"/>
      <c r="D5603" s="2"/>
    </row>
    <row r="5604" spans="1:4" outlineLevel="1" x14ac:dyDescent="0.25">
      <c r="A5604" t="s">
        <v>668</v>
      </c>
      <c r="B5604" t="s">
        <v>11</v>
      </c>
      <c r="C5604" s="1" t="str">
        <f>HYPERLINK("http://продеталь.рф/search.html?article=SB04016BAZ","SB04016BAZ")</f>
        <v>SB04016BAZ</v>
      </c>
      <c r="D5604" t="s">
        <v>2</v>
      </c>
    </row>
    <row r="5605" spans="1:4" outlineLevel="1" x14ac:dyDescent="0.25">
      <c r="A5605" t="s">
        <v>668</v>
      </c>
      <c r="B5605" t="s">
        <v>24</v>
      </c>
      <c r="C5605" s="1" t="str">
        <f>HYPERLINK("http://продеталь.рф/search.html?article=PSB10011AL","PSB10011AL")</f>
        <v>PSB10011AL</v>
      </c>
      <c r="D5605" t="s">
        <v>6</v>
      </c>
    </row>
    <row r="5606" spans="1:4" outlineLevel="1" x14ac:dyDescent="0.25">
      <c r="A5606" t="s">
        <v>668</v>
      </c>
      <c r="B5606" t="s">
        <v>24</v>
      </c>
      <c r="C5606" s="1" t="str">
        <f>HYPERLINK("http://продеталь.рф/search.html?article=PSB10011AR","PSB10011AR")</f>
        <v>PSB10011AR</v>
      </c>
      <c r="D5606" t="s">
        <v>6</v>
      </c>
    </row>
    <row r="5607" spans="1:4" outlineLevel="1" x14ac:dyDescent="0.25">
      <c r="A5607" t="s">
        <v>668</v>
      </c>
      <c r="B5607" t="s">
        <v>5</v>
      </c>
      <c r="C5607" s="1" t="str">
        <f>HYPERLINK("http://продеталь.рф/search.html?article=SB11008AL","SB11008AL")</f>
        <v>SB11008AL</v>
      </c>
      <c r="D5607" t="s">
        <v>2</v>
      </c>
    </row>
    <row r="5608" spans="1:4" outlineLevel="1" x14ac:dyDescent="0.25">
      <c r="A5608" t="s">
        <v>668</v>
      </c>
      <c r="B5608" t="s">
        <v>5</v>
      </c>
      <c r="C5608" s="1" t="str">
        <f>HYPERLINK("http://продеталь.рф/search.html?article=SB11008AR","SB11008AR")</f>
        <v>SB11008AR</v>
      </c>
      <c r="D5608" t="s">
        <v>2</v>
      </c>
    </row>
    <row r="5609" spans="1:4" outlineLevel="1" x14ac:dyDescent="0.25">
      <c r="A5609" t="s">
        <v>668</v>
      </c>
      <c r="B5609" t="s">
        <v>13</v>
      </c>
      <c r="C5609" s="1" t="str">
        <f>HYPERLINK("http://продеталь.рф/search.html?article=PSB44027A","PSB44027A")</f>
        <v>PSB44027A</v>
      </c>
      <c r="D5609" t="s">
        <v>6</v>
      </c>
    </row>
    <row r="5610" spans="1:4" x14ac:dyDescent="0.25">
      <c r="A5610" t="s">
        <v>669</v>
      </c>
      <c r="B5610" s="2" t="s">
        <v>669</v>
      </c>
      <c r="C5610" s="2"/>
      <c r="D5610" s="2"/>
    </row>
    <row r="5611" spans="1:4" outlineLevel="1" x14ac:dyDescent="0.25">
      <c r="A5611" t="s">
        <v>669</v>
      </c>
      <c r="B5611" t="s">
        <v>1</v>
      </c>
      <c r="C5611" s="1" t="str">
        <f>HYPERLINK("http://продеталь.рф/search.html?article=SB25015A0","SB25015A0")</f>
        <v>SB25015A0</v>
      </c>
      <c r="D5611" t="s">
        <v>9</v>
      </c>
    </row>
    <row r="5612" spans="1:4" outlineLevel="1" x14ac:dyDescent="0.25">
      <c r="A5612" t="s">
        <v>669</v>
      </c>
      <c r="B5612" t="s">
        <v>1</v>
      </c>
      <c r="C5612" s="1" t="str">
        <f>HYPERLINK("http://продеталь.рф/search.html?article=PSB20020A","PSB20020A")</f>
        <v>PSB20020A</v>
      </c>
      <c r="D5612" t="s">
        <v>6</v>
      </c>
    </row>
    <row r="5613" spans="1:4" outlineLevel="1" x14ac:dyDescent="0.25">
      <c r="A5613" t="s">
        <v>669</v>
      </c>
      <c r="B5613" t="s">
        <v>66</v>
      </c>
      <c r="C5613" s="1" t="str">
        <f>HYPERLINK("http://продеталь.рф/search.html?article=BK029","BK029")</f>
        <v>BK029</v>
      </c>
      <c r="D5613" t="s">
        <v>6</v>
      </c>
    </row>
    <row r="5614" spans="1:4" outlineLevel="1" x14ac:dyDescent="0.25">
      <c r="A5614" t="s">
        <v>669</v>
      </c>
      <c r="B5614" t="s">
        <v>5</v>
      </c>
      <c r="C5614" s="1" t="str">
        <f>HYPERLINK("http://продеталь.рф/search.html?article=SB250016L2L00","SB250016L2L00")</f>
        <v>SB250016L2L00</v>
      </c>
      <c r="D5614" t="s">
        <v>9</v>
      </c>
    </row>
    <row r="5615" spans="1:4" outlineLevel="1" x14ac:dyDescent="0.25">
      <c r="A5615" t="s">
        <v>669</v>
      </c>
      <c r="B5615" t="s">
        <v>5</v>
      </c>
      <c r="C5615" s="1" t="str">
        <f>HYPERLINK("http://продеталь.рф/search.html?article=SB250016L2R00","SB250016L2R00")</f>
        <v>SB250016L2R00</v>
      </c>
      <c r="D5615" t="s">
        <v>9</v>
      </c>
    </row>
    <row r="5616" spans="1:4" outlineLevel="1" x14ac:dyDescent="0.25">
      <c r="A5616" t="s">
        <v>669</v>
      </c>
      <c r="B5616" t="s">
        <v>12</v>
      </c>
      <c r="C5616" s="1" t="str">
        <f>HYPERLINK("http://продеталь.рф/search.html?article=SB07039GAR","SB07039GAR")</f>
        <v>SB07039GAR</v>
      </c>
      <c r="D5616" t="s">
        <v>2</v>
      </c>
    </row>
    <row r="5617" spans="1:4" x14ac:dyDescent="0.25">
      <c r="A5617" t="s">
        <v>670</v>
      </c>
      <c r="B5617" s="2" t="s">
        <v>670</v>
      </c>
      <c r="C5617" s="2"/>
      <c r="D5617" s="2"/>
    </row>
    <row r="5618" spans="1:4" outlineLevel="1" x14ac:dyDescent="0.25">
      <c r="A5618" t="s">
        <v>670</v>
      </c>
      <c r="B5618" t="s">
        <v>11</v>
      </c>
      <c r="C5618" s="1" t="str">
        <f>HYPERLINK("http://продеталь.рф/search.html?article=PSB04029BA","PSB04029BA")</f>
        <v>PSB04029BA</v>
      </c>
      <c r="D5618" t="s">
        <v>6</v>
      </c>
    </row>
    <row r="5619" spans="1:4" outlineLevel="1" x14ac:dyDescent="0.25">
      <c r="A5619" t="s">
        <v>670</v>
      </c>
      <c r="B5619" t="s">
        <v>159</v>
      </c>
      <c r="C5619" s="1" t="str">
        <f>HYPERLINK("http://продеталь.рф/search.html?article=SB61009B","SB61009B")</f>
        <v>SB61009B</v>
      </c>
      <c r="D5619" t="s">
        <v>2</v>
      </c>
    </row>
    <row r="5620" spans="1:4" outlineLevel="1" x14ac:dyDescent="0.25">
      <c r="A5620" t="s">
        <v>670</v>
      </c>
      <c r="B5620" t="s">
        <v>79</v>
      </c>
      <c r="C5620" s="1" t="str">
        <f>HYPERLINK("http://продеталь.рф/search.html?article=SB60009B","SB60009B")</f>
        <v>SB60009B</v>
      </c>
      <c r="D5620" t="s">
        <v>2</v>
      </c>
    </row>
    <row r="5621" spans="1:4" outlineLevel="1" x14ac:dyDescent="0.25">
      <c r="A5621" t="s">
        <v>670</v>
      </c>
      <c r="B5621" t="s">
        <v>1</v>
      </c>
      <c r="C5621" s="1" t="str">
        <f>HYPERLINK("http://продеталь.рф/search.html?article=99C40","99C40")</f>
        <v>99C40</v>
      </c>
      <c r="D5621" t="s">
        <v>36</v>
      </c>
    </row>
    <row r="5622" spans="1:4" outlineLevel="1" x14ac:dyDescent="0.25">
      <c r="A5622" t="s">
        <v>670</v>
      </c>
      <c r="B5622" t="s">
        <v>27</v>
      </c>
      <c r="C5622" s="1" t="str">
        <f>HYPERLINK("http://продеталь.рф/search.html?article=PSB30015AU","PSB30015AU")</f>
        <v>PSB30015AU</v>
      </c>
      <c r="D5622" t="s">
        <v>6</v>
      </c>
    </row>
    <row r="5623" spans="1:4" outlineLevel="1" x14ac:dyDescent="0.25">
      <c r="A5623" t="s">
        <v>670</v>
      </c>
      <c r="B5623" t="s">
        <v>3</v>
      </c>
      <c r="C5623" s="1" t="str">
        <f>HYPERLINK("http://продеталь.рф/search.html?article=209122001A","209122001A")</f>
        <v>209122001A</v>
      </c>
      <c r="D5623" t="s">
        <v>4</v>
      </c>
    </row>
    <row r="5624" spans="1:4" outlineLevel="1" x14ac:dyDescent="0.25">
      <c r="A5624" t="s">
        <v>670</v>
      </c>
      <c r="B5624" t="s">
        <v>3</v>
      </c>
      <c r="C5624" s="1" t="str">
        <f>HYPERLINK("http://продеталь.рф/search.html?article=209121001A","209121001A")</f>
        <v>209121001A</v>
      </c>
      <c r="D5624" t="s">
        <v>4</v>
      </c>
    </row>
    <row r="5625" spans="1:4" x14ac:dyDescent="0.25">
      <c r="A5625" t="s">
        <v>671</v>
      </c>
      <c r="B5625" s="2" t="s">
        <v>671</v>
      </c>
      <c r="C5625" s="2"/>
      <c r="D5625" s="2"/>
    </row>
    <row r="5626" spans="1:4" outlineLevel="1" x14ac:dyDescent="0.25">
      <c r="A5626" t="s">
        <v>671</v>
      </c>
      <c r="B5626" t="s">
        <v>11</v>
      </c>
      <c r="C5626" s="1" t="str">
        <f>HYPERLINK("http://продеталь.рф/search.html?article=SB04015BA","SB04015BA")</f>
        <v>SB04015BA</v>
      </c>
      <c r="D5626" t="s">
        <v>2</v>
      </c>
    </row>
    <row r="5627" spans="1:4" outlineLevel="1" x14ac:dyDescent="0.25">
      <c r="A5627" t="s">
        <v>671</v>
      </c>
      <c r="B5627" t="s">
        <v>5</v>
      </c>
      <c r="C5627" s="1" t="str">
        <f>HYPERLINK("http://продеталь.рф/search.html?article=SB16016L1","SB16016L1")</f>
        <v>SB16016L1</v>
      </c>
      <c r="D5627" t="s">
        <v>9</v>
      </c>
    </row>
    <row r="5628" spans="1:4" x14ac:dyDescent="0.25">
      <c r="A5628" t="s">
        <v>672</v>
      </c>
      <c r="B5628" s="2" t="s">
        <v>672</v>
      </c>
      <c r="C5628" s="2"/>
      <c r="D5628" s="2"/>
    </row>
    <row r="5629" spans="1:4" outlineLevel="1" x14ac:dyDescent="0.25">
      <c r="A5629" t="s">
        <v>672</v>
      </c>
      <c r="B5629" t="s">
        <v>1</v>
      </c>
      <c r="C5629" s="1" t="str">
        <f>HYPERLINK("http://продеталь.рф/search.html?article=SB20010A","SB20010A")</f>
        <v>SB20010A</v>
      </c>
      <c r="D5629" t="s">
        <v>2</v>
      </c>
    </row>
    <row r="5630" spans="1:4" outlineLevel="1" x14ac:dyDescent="0.25">
      <c r="A5630" t="s">
        <v>672</v>
      </c>
      <c r="B5630" t="s">
        <v>28</v>
      </c>
      <c r="C5630" s="1" t="str">
        <f>HYPERLINK("http://продеталь.рф/search.html?article=267711","267711")</f>
        <v>267711</v>
      </c>
      <c r="D5630" t="s">
        <v>135</v>
      </c>
    </row>
    <row r="5631" spans="1:4" outlineLevel="1" x14ac:dyDescent="0.25">
      <c r="A5631" t="s">
        <v>672</v>
      </c>
      <c r="B5631" t="s">
        <v>12</v>
      </c>
      <c r="C5631" s="1" t="str">
        <f>HYPERLINK("http://продеталь.рф/search.html?article=SB17093B0","SB17093B0")</f>
        <v>SB17093B0</v>
      </c>
      <c r="D5631" t="s">
        <v>9</v>
      </c>
    </row>
    <row r="5632" spans="1:4" x14ac:dyDescent="0.25">
      <c r="A5632" t="s">
        <v>673</v>
      </c>
      <c r="B5632" s="2" t="s">
        <v>673</v>
      </c>
      <c r="C5632" s="2"/>
      <c r="D5632" s="2"/>
    </row>
    <row r="5633" spans="1:4" outlineLevel="1" x14ac:dyDescent="0.25">
      <c r="A5633" t="s">
        <v>673</v>
      </c>
      <c r="B5633" t="s">
        <v>11</v>
      </c>
      <c r="C5633" s="1" t="str">
        <f>HYPERLINK("http://продеталь.рф/search.html?article=SB04027BA","SB04027BA")</f>
        <v>SB04027BA</v>
      </c>
      <c r="D5633" t="s">
        <v>2</v>
      </c>
    </row>
    <row r="5634" spans="1:4" outlineLevel="1" x14ac:dyDescent="0.25">
      <c r="A5634" t="s">
        <v>673</v>
      </c>
      <c r="B5634" t="s">
        <v>1</v>
      </c>
      <c r="C5634" s="1" t="str">
        <f>HYPERLINK("http://продеталь.рф/search.html?article=GDGD689","GDGD689")</f>
        <v>GDGD689</v>
      </c>
      <c r="D5634" t="s">
        <v>2</v>
      </c>
    </row>
    <row r="5635" spans="1:4" outlineLevel="1" x14ac:dyDescent="0.25">
      <c r="A5635" t="s">
        <v>673</v>
      </c>
      <c r="B5635" t="s">
        <v>1</v>
      </c>
      <c r="C5635" s="1" t="str">
        <f>HYPERLINK("http://продеталь.рф/search.html?article=99688S","99688S")</f>
        <v>99688S</v>
      </c>
      <c r="D5635" t="s">
        <v>36</v>
      </c>
    </row>
    <row r="5636" spans="1:4" outlineLevel="1" x14ac:dyDescent="0.25">
      <c r="A5636" t="s">
        <v>673</v>
      </c>
      <c r="B5636" t="s">
        <v>24</v>
      </c>
      <c r="C5636" s="1" t="str">
        <f>HYPERLINK("http://продеталь.рф/search.html?article=GD99686R","GD99686R")</f>
        <v>GD99686R</v>
      </c>
      <c r="D5636" t="s">
        <v>2</v>
      </c>
    </row>
    <row r="5637" spans="1:4" outlineLevel="1" x14ac:dyDescent="0.25">
      <c r="A5637" t="s">
        <v>673</v>
      </c>
      <c r="B5637" t="s">
        <v>27</v>
      </c>
      <c r="C5637" s="1" t="str">
        <f>HYPERLINK("http://продеталь.рф/search.html?article=PSB30014BW","PSB30014BW")</f>
        <v>PSB30014BW</v>
      </c>
      <c r="D5637" t="s">
        <v>6</v>
      </c>
    </row>
    <row r="5638" spans="1:4" outlineLevel="1" x14ac:dyDescent="0.25">
      <c r="A5638" t="s">
        <v>673</v>
      </c>
      <c r="B5638" t="s">
        <v>3</v>
      </c>
      <c r="C5638" s="1" t="str">
        <f>HYPERLINK("http://продеталь.рф/search.html?article=206622001A","206622001A")</f>
        <v>206622001A</v>
      </c>
      <c r="D5638" t="s">
        <v>4</v>
      </c>
    </row>
    <row r="5639" spans="1:4" outlineLevel="1" x14ac:dyDescent="0.25">
      <c r="A5639" t="s">
        <v>673</v>
      </c>
      <c r="B5639" t="s">
        <v>3</v>
      </c>
      <c r="C5639" s="1" t="str">
        <f>HYPERLINK("http://продеталь.рф/search.html?article=206621001A","206621001A")</f>
        <v>206621001A</v>
      </c>
      <c r="D5639" t="s">
        <v>4</v>
      </c>
    </row>
    <row r="5640" spans="1:4" outlineLevel="1" x14ac:dyDescent="0.25">
      <c r="A5640" t="s">
        <v>673</v>
      </c>
      <c r="B5640" t="s">
        <v>12</v>
      </c>
      <c r="C5640" s="1" t="str">
        <f>HYPERLINK("http://продеталь.рф/search.html?article=SB07034GA","SB07034GA")</f>
        <v>SB07034GA</v>
      </c>
      <c r="D5640" t="s">
        <v>2</v>
      </c>
    </row>
    <row r="5641" spans="1:4" outlineLevel="1" x14ac:dyDescent="0.25">
      <c r="A5641" t="s">
        <v>673</v>
      </c>
      <c r="B5641" t="s">
        <v>13</v>
      </c>
      <c r="C5641" s="1" t="str">
        <f>HYPERLINK("http://продеталь.рф/search.html?article=SB18000R0","SB18000R0")</f>
        <v>SB18000R0</v>
      </c>
      <c r="D5641" t="s">
        <v>9</v>
      </c>
    </row>
    <row r="5642" spans="1:4" outlineLevel="1" x14ac:dyDescent="0.25">
      <c r="A5642" t="s">
        <v>673</v>
      </c>
      <c r="B5642" t="s">
        <v>13</v>
      </c>
      <c r="C5642" s="1" t="str">
        <f>HYPERLINK("http://продеталь.рф/search.html?article=SB18000RA0","SB18000RA0")</f>
        <v>SB18000RA0</v>
      </c>
      <c r="D5642" t="s">
        <v>9</v>
      </c>
    </row>
    <row r="5643" spans="1:4" x14ac:dyDescent="0.25">
      <c r="A5643" t="s">
        <v>674</v>
      </c>
      <c r="B5643" s="2" t="s">
        <v>674</v>
      </c>
      <c r="C5643" s="2"/>
      <c r="D5643" s="2"/>
    </row>
    <row r="5644" spans="1:4" outlineLevel="1" x14ac:dyDescent="0.25">
      <c r="A5644" t="s">
        <v>674</v>
      </c>
      <c r="B5644" t="s">
        <v>11</v>
      </c>
      <c r="C5644" s="1" t="str">
        <f>HYPERLINK("http://продеталь.рф/search.html?article=SB18000003000","SB18000003000")</f>
        <v>SB18000003000</v>
      </c>
      <c r="D5644" t="s">
        <v>9</v>
      </c>
    </row>
    <row r="5645" spans="1:4" outlineLevel="1" x14ac:dyDescent="0.25">
      <c r="A5645" t="s">
        <v>674</v>
      </c>
      <c r="B5645" t="s">
        <v>11</v>
      </c>
      <c r="C5645" s="1" t="str">
        <f>HYPERLINK("http://продеталь.рф/search.html?article=SB04035BA","SB04035BA")</f>
        <v>SB04035BA</v>
      </c>
      <c r="D5645" t="s">
        <v>2</v>
      </c>
    </row>
    <row r="5646" spans="1:4" outlineLevel="1" x14ac:dyDescent="0.25">
      <c r="A5646" t="s">
        <v>674</v>
      </c>
      <c r="B5646" t="s">
        <v>11</v>
      </c>
      <c r="C5646" s="1" t="str">
        <f>HYPERLINK("http://продеталь.рф/search.html?article=SB18100002000","SB18100002000")</f>
        <v>SB18100002000</v>
      </c>
      <c r="D5646" t="s">
        <v>9</v>
      </c>
    </row>
    <row r="5647" spans="1:4" outlineLevel="1" x14ac:dyDescent="0.25">
      <c r="A5647" t="s">
        <v>674</v>
      </c>
      <c r="B5647" t="s">
        <v>15</v>
      </c>
      <c r="C5647" s="1" t="str">
        <f>HYPERLINK("http://продеталь.рф/search.html?article=SB18194103L00","SB18194103L00")</f>
        <v>SB18194103L00</v>
      </c>
      <c r="D5647" t="s">
        <v>9</v>
      </c>
    </row>
    <row r="5648" spans="1:4" outlineLevel="1" x14ac:dyDescent="0.25">
      <c r="A5648" t="s">
        <v>674</v>
      </c>
      <c r="B5648" t="s">
        <v>15</v>
      </c>
      <c r="C5648" s="1" t="str">
        <f>HYPERLINK("http://продеталь.рф/search.html?article=SB18194103R00","SB18194103R00")</f>
        <v>SB18194103R00</v>
      </c>
      <c r="D5648" t="s">
        <v>9</v>
      </c>
    </row>
    <row r="5649" spans="1:4" outlineLevel="1" x14ac:dyDescent="0.25">
      <c r="A5649" t="s">
        <v>674</v>
      </c>
      <c r="B5649" t="s">
        <v>1</v>
      </c>
      <c r="C5649" s="1" t="str">
        <f>HYPERLINK("http://продеталь.рф/search.html?article=SB20025A","SB20025A")</f>
        <v>SB20025A</v>
      </c>
      <c r="D5649" t="s">
        <v>2</v>
      </c>
    </row>
    <row r="5650" spans="1:4" outlineLevel="1" x14ac:dyDescent="0.25">
      <c r="A5650" t="s">
        <v>674</v>
      </c>
      <c r="B5650" t="s">
        <v>1</v>
      </c>
      <c r="C5650" s="1" t="str">
        <f>HYPERLINK("http://продеталь.рф/search.html?article=SB20025B","SB20025B")</f>
        <v>SB20025B</v>
      </c>
      <c r="D5650" t="s">
        <v>2</v>
      </c>
    </row>
    <row r="5651" spans="1:4" outlineLevel="1" x14ac:dyDescent="0.25">
      <c r="A5651" t="s">
        <v>674</v>
      </c>
      <c r="B5651" t="s">
        <v>84</v>
      </c>
      <c r="C5651" s="1" t="str">
        <f>HYPERLINK("http://продеталь.рф/search.html?article=PSB43069CL","PSB43069CL")</f>
        <v>PSB43069CL</v>
      </c>
      <c r="D5651" t="s">
        <v>6</v>
      </c>
    </row>
    <row r="5652" spans="1:4" outlineLevel="1" x14ac:dyDescent="0.25">
      <c r="A5652" t="s">
        <v>674</v>
      </c>
      <c r="B5652" t="s">
        <v>84</v>
      </c>
      <c r="C5652" s="1" t="str">
        <f>HYPERLINK("http://продеталь.рф/search.html?article=PSB43069CR","PSB43069CR")</f>
        <v>PSB43069CR</v>
      </c>
      <c r="D5652" t="s">
        <v>6</v>
      </c>
    </row>
    <row r="5653" spans="1:4" outlineLevel="1" x14ac:dyDescent="0.25">
      <c r="A5653" t="s">
        <v>674</v>
      </c>
      <c r="B5653" t="s">
        <v>66</v>
      </c>
      <c r="C5653" s="1" t="str">
        <f>HYPERLINK("http://продеталь.рф/search.html?article=BK046","BK046")</f>
        <v>BK046</v>
      </c>
      <c r="D5653" t="s">
        <v>6</v>
      </c>
    </row>
    <row r="5654" spans="1:4" outlineLevel="1" x14ac:dyDescent="0.25">
      <c r="A5654" t="s">
        <v>674</v>
      </c>
      <c r="B5654" t="s">
        <v>27</v>
      </c>
      <c r="C5654" s="1" t="str">
        <f>HYPERLINK("http://продеталь.рф/search.html?article=PSB30015A","PSB30015A")</f>
        <v>PSB30015A</v>
      </c>
      <c r="D5654" t="s">
        <v>6</v>
      </c>
    </row>
    <row r="5655" spans="1:4" outlineLevel="1" x14ac:dyDescent="0.25">
      <c r="A5655" t="s">
        <v>674</v>
      </c>
      <c r="B5655" t="s">
        <v>3</v>
      </c>
      <c r="C5655" s="1" t="str">
        <f>HYPERLINK("http://продеталь.рф/search.html?article=209116001A","209116001A")</f>
        <v>209116001A</v>
      </c>
      <c r="D5655" t="s">
        <v>4</v>
      </c>
    </row>
    <row r="5656" spans="1:4" outlineLevel="1" x14ac:dyDescent="0.25">
      <c r="A5656" t="s">
        <v>674</v>
      </c>
      <c r="B5656" t="s">
        <v>3</v>
      </c>
      <c r="C5656" s="1" t="str">
        <f>HYPERLINK("http://продеталь.рф/search.html?article=209115001A","209115001A")</f>
        <v>209115001A</v>
      </c>
      <c r="D5656" t="s">
        <v>4</v>
      </c>
    </row>
    <row r="5657" spans="1:4" outlineLevel="1" x14ac:dyDescent="0.25">
      <c r="A5657" t="s">
        <v>674</v>
      </c>
      <c r="B5657" t="s">
        <v>5</v>
      </c>
      <c r="C5657" s="1" t="str">
        <f>HYPERLINK("http://продеталь.рф/search.html?article=SB181016L0L00","SB181016L0L00")</f>
        <v>SB181016L0L00</v>
      </c>
      <c r="D5657" t="s">
        <v>9</v>
      </c>
    </row>
    <row r="5658" spans="1:4" outlineLevel="1" x14ac:dyDescent="0.25">
      <c r="A5658" t="s">
        <v>674</v>
      </c>
      <c r="B5658" t="s">
        <v>5</v>
      </c>
      <c r="C5658" s="1" t="str">
        <f>HYPERLINK("http://продеталь.рф/search.html?article=SB181016L0R00","SB181016L0R00")</f>
        <v>SB181016L0R00</v>
      </c>
      <c r="D5658" t="s">
        <v>9</v>
      </c>
    </row>
    <row r="5659" spans="1:4" outlineLevel="1" x14ac:dyDescent="0.25">
      <c r="A5659" t="s">
        <v>674</v>
      </c>
      <c r="B5659" t="s">
        <v>40</v>
      </c>
      <c r="C5659" s="1" t="str">
        <f>HYPERLINK("http://продеталь.рф/search.html?article=SB181000G0L00","SB181000G0L00")</f>
        <v>SB181000G0L00</v>
      </c>
      <c r="D5659" t="s">
        <v>9</v>
      </c>
    </row>
    <row r="5660" spans="1:4" outlineLevel="1" x14ac:dyDescent="0.25">
      <c r="A5660" t="s">
        <v>674</v>
      </c>
      <c r="B5660" t="s">
        <v>40</v>
      </c>
      <c r="C5660" s="1" t="str">
        <f>HYPERLINK("http://продеталь.рф/search.html?article=SB181000G0R00","SB181000G0R00")</f>
        <v>SB181000G0R00</v>
      </c>
      <c r="D5660" t="s">
        <v>9</v>
      </c>
    </row>
    <row r="5661" spans="1:4" outlineLevel="1" x14ac:dyDescent="0.25">
      <c r="A5661" t="s">
        <v>674</v>
      </c>
      <c r="B5661" t="s">
        <v>13</v>
      </c>
      <c r="C5661" s="1" t="str">
        <f>HYPERLINK("http://продеталь.рф/search.html?article=SB44039AS","SB44039AS")</f>
        <v>SB44039AS</v>
      </c>
      <c r="D5661" t="s">
        <v>2</v>
      </c>
    </row>
    <row r="5662" spans="1:4" x14ac:dyDescent="0.25">
      <c r="A5662" t="s">
        <v>675</v>
      </c>
      <c r="B5662" s="2" t="s">
        <v>675</v>
      </c>
      <c r="C5662" s="2"/>
      <c r="D5662" s="2"/>
    </row>
    <row r="5663" spans="1:4" outlineLevel="1" x14ac:dyDescent="0.25">
      <c r="A5663" t="s">
        <v>675</v>
      </c>
      <c r="B5663" t="s">
        <v>11</v>
      </c>
      <c r="C5663" s="1" t="str">
        <f>HYPERLINK("http://продеталь.рф/search.html?article=SZ50000A0","SZ50000A0")</f>
        <v>SZ50000A0</v>
      </c>
      <c r="D5663" t="s">
        <v>9</v>
      </c>
    </row>
    <row r="5664" spans="1:4" outlineLevel="1" x14ac:dyDescent="0.25">
      <c r="A5664" t="s">
        <v>675</v>
      </c>
      <c r="B5664" t="s">
        <v>15</v>
      </c>
      <c r="C5664" s="1" t="str">
        <f>HYPERLINK("http://продеталь.рф/search.html?article=3350003","3350003")</f>
        <v>3350003</v>
      </c>
      <c r="D5664" t="s">
        <v>4</v>
      </c>
    </row>
    <row r="5665" spans="1:4" outlineLevel="1" x14ac:dyDescent="0.25">
      <c r="A5665" t="s">
        <v>675</v>
      </c>
      <c r="B5665" t="s">
        <v>1</v>
      </c>
      <c r="C5665" s="1" t="str">
        <f>HYPERLINK("http://продеталь.рф/search.html?article=SZ20009A","SZ20009A")</f>
        <v>SZ20009A</v>
      </c>
      <c r="D5665" t="s">
        <v>2</v>
      </c>
    </row>
    <row r="5666" spans="1:4" outlineLevel="1" x14ac:dyDescent="0.25">
      <c r="A5666" t="s">
        <v>675</v>
      </c>
      <c r="B5666" t="s">
        <v>27</v>
      </c>
      <c r="C5666" s="1" t="str">
        <f>HYPERLINK("http://продеталь.рф/search.html?article=SZ50009U0","SZ50009U0")</f>
        <v>SZ50009U0</v>
      </c>
      <c r="D5666" t="s">
        <v>9</v>
      </c>
    </row>
    <row r="5667" spans="1:4" outlineLevel="1" x14ac:dyDescent="0.25">
      <c r="A5667" t="s">
        <v>675</v>
      </c>
      <c r="B5667" t="s">
        <v>3</v>
      </c>
      <c r="C5667" s="1" t="str">
        <f>HYPERLINK("http://продеталь.рф/search.html?article=205093052","205093052")</f>
        <v>205093052</v>
      </c>
      <c r="D5667" t="s">
        <v>4</v>
      </c>
    </row>
    <row r="5668" spans="1:4" outlineLevel="1" x14ac:dyDescent="0.25">
      <c r="A5668" t="s">
        <v>675</v>
      </c>
      <c r="B5668" t="s">
        <v>12</v>
      </c>
      <c r="C5668" s="1" t="str">
        <f>HYPERLINK("http://продеталь.рф/search.html?article=SZ500930","SZ500930")</f>
        <v>SZ500930</v>
      </c>
      <c r="D5668" t="s">
        <v>9</v>
      </c>
    </row>
    <row r="5669" spans="1:4" x14ac:dyDescent="0.25">
      <c r="A5669" t="s">
        <v>676</v>
      </c>
      <c r="B5669" s="2" t="s">
        <v>676</v>
      </c>
      <c r="C5669" s="2"/>
      <c r="D5669" s="2"/>
    </row>
    <row r="5670" spans="1:4" outlineLevel="1" x14ac:dyDescent="0.25">
      <c r="A5670" t="s">
        <v>676</v>
      </c>
      <c r="B5670" t="s">
        <v>11</v>
      </c>
      <c r="C5670" s="1" t="str">
        <f>HYPERLINK("http://продеталь.рф/search.html?article=SZ04038BA","SZ04038BA")</f>
        <v>SZ04038BA</v>
      </c>
      <c r="D5670" t="s">
        <v>2</v>
      </c>
    </row>
    <row r="5671" spans="1:4" outlineLevel="1" x14ac:dyDescent="0.25">
      <c r="A5671" t="s">
        <v>676</v>
      </c>
      <c r="B5671" t="s">
        <v>24</v>
      </c>
      <c r="C5671" s="1" t="str">
        <f>HYPERLINK("http://продеталь.рф/search.html?article=SZ10021BL","SZ10021BL")</f>
        <v>SZ10021BL</v>
      </c>
      <c r="D5671" t="s">
        <v>2</v>
      </c>
    </row>
    <row r="5672" spans="1:4" outlineLevel="1" x14ac:dyDescent="0.25">
      <c r="A5672" t="s">
        <v>676</v>
      </c>
      <c r="B5672" t="s">
        <v>24</v>
      </c>
      <c r="C5672" s="1" t="str">
        <f>HYPERLINK("http://продеталь.рф/search.html?article=SZ10021BR","SZ10021BR")</f>
        <v>SZ10021BR</v>
      </c>
      <c r="D5672" t="s">
        <v>2</v>
      </c>
    </row>
    <row r="5673" spans="1:4" outlineLevel="1" x14ac:dyDescent="0.25">
      <c r="A5673" t="s">
        <v>676</v>
      </c>
      <c r="B5673" t="s">
        <v>27</v>
      </c>
      <c r="C5673" s="1" t="str">
        <f>HYPERLINK("http://продеталь.рф/search.html?article=SZ30011AU","SZ30011AU")</f>
        <v>SZ30011AU</v>
      </c>
      <c r="D5673" t="s">
        <v>2</v>
      </c>
    </row>
    <row r="5674" spans="1:4" x14ac:dyDescent="0.25">
      <c r="A5674" t="s">
        <v>677</v>
      </c>
      <c r="B5674" s="2" t="s">
        <v>677</v>
      </c>
      <c r="C5674" s="2"/>
      <c r="D5674" s="2"/>
    </row>
    <row r="5675" spans="1:4" outlineLevel="1" x14ac:dyDescent="0.25">
      <c r="A5675" t="s">
        <v>677</v>
      </c>
      <c r="B5675" t="s">
        <v>11</v>
      </c>
      <c r="C5675" s="1" t="str">
        <f>HYPERLINK("http://продеталь.рф/search.html?article=SZ04050BB","SZ04050BB")</f>
        <v>SZ04050BB</v>
      </c>
      <c r="D5675" t="s">
        <v>2</v>
      </c>
    </row>
    <row r="5676" spans="1:4" outlineLevel="1" x14ac:dyDescent="0.25">
      <c r="A5676" t="s">
        <v>677</v>
      </c>
      <c r="B5676" t="s">
        <v>11</v>
      </c>
      <c r="C5676" s="1" t="str">
        <f>HYPERLINK("http://продеталь.рф/search.html?article=SZ04064BB","SZ04064BB")</f>
        <v>SZ04064BB</v>
      </c>
      <c r="D5676" t="s">
        <v>2</v>
      </c>
    </row>
    <row r="5677" spans="1:4" outlineLevel="1" x14ac:dyDescent="0.25">
      <c r="A5677" t="s">
        <v>677</v>
      </c>
      <c r="B5677" t="s">
        <v>15</v>
      </c>
      <c r="C5677" s="1" t="str">
        <f>HYPERLINK("http://продеталь.рф/search.html?article=388SZD045T","388SZD045T")</f>
        <v>388SZD045T</v>
      </c>
      <c r="D5677" t="s">
        <v>4</v>
      </c>
    </row>
    <row r="5678" spans="1:4" outlineLevel="1" x14ac:dyDescent="0.25">
      <c r="A5678" t="s">
        <v>677</v>
      </c>
      <c r="B5678" t="s">
        <v>15</v>
      </c>
      <c r="C5678" s="1" t="str">
        <f>HYPERLINK("http://продеталь.рф/search.html?article=SZ829411","SZ829411")</f>
        <v>SZ829411</v>
      </c>
      <c r="D5678" t="s">
        <v>9</v>
      </c>
    </row>
    <row r="5679" spans="1:4" outlineLevel="1" x14ac:dyDescent="0.25">
      <c r="A5679" t="s">
        <v>677</v>
      </c>
      <c r="B5679" t="s">
        <v>159</v>
      </c>
      <c r="C5679" s="1" t="str">
        <f>HYPERLINK("http://продеталь.рф/search.html?article=SZ823930","SZ823930")</f>
        <v>SZ823930</v>
      </c>
      <c r="D5679" t="s">
        <v>9</v>
      </c>
    </row>
    <row r="5680" spans="1:4" outlineLevel="1" x14ac:dyDescent="0.25">
      <c r="A5680" t="s">
        <v>677</v>
      </c>
      <c r="B5680" t="s">
        <v>1</v>
      </c>
      <c r="C5680" s="1" t="str">
        <f>HYPERLINK("http://продеталь.рф/search.html?article=SZ20012A","SZ20012A")</f>
        <v>SZ20012A</v>
      </c>
      <c r="D5680" t="s">
        <v>2</v>
      </c>
    </row>
    <row r="5681" spans="1:4" outlineLevel="1" x14ac:dyDescent="0.25">
      <c r="A5681" t="s">
        <v>677</v>
      </c>
      <c r="B5681" t="s">
        <v>24</v>
      </c>
      <c r="C5681" s="1" t="str">
        <f>HYPERLINK("http://продеталь.рф/search.html?article=SZ82016C1","SZ82016C1")</f>
        <v>SZ82016C1</v>
      </c>
      <c r="D5681" t="s">
        <v>9</v>
      </c>
    </row>
    <row r="5682" spans="1:4" outlineLevel="1" x14ac:dyDescent="0.25">
      <c r="A5682" t="s">
        <v>677</v>
      </c>
      <c r="B5682" t="s">
        <v>24</v>
      </c>
      <c r="C5682" s="1" t="str">
        <f>HYPERLINK("http://продеталь.рф/search.html?article=SZ10015CL","SZ10015CL")</f>
        <v>SZ10015CL</v>
      </c>
      <c r="D5682" t="s">
        <v>2</v>
      </c>
    </row>
    <row r="5683" spans="1:4" outlineLevel="1" x14ac:dyDescent="0.25">
      <c r="A5683" t="s">
        <v>677</v>
      </c>
      <c r="B5683" t="s">
        <v>24</v>
      </c>
      <c r="C5683" s="1" t="str">
        <f>HYPERLINK("http://продеталь.рф/search.html?article=SZ10015CR","SZ10015CR")</f>
        <v>SZ10015CR</v>
      </c>
      <c r="D5683" t="s">
        <v>2</v>
      </c>
    </row>
    <row r="5684" spans="1:4" outlineLevel="1" x14ac:dyDescent="0.25">
      <c r="A5684" t="s">
        <v>677</v>
      </c>
      <c r="B5684" t="s">
        <v>3</v>
      </c>
      <c r="C5684" s="1" t="str">
        <f>HYPERLINK("http://продеталь.рф/search.html?article=205668082","205668082")</f>
        <v>205668082</v>
      </c>
      <c r="D5684" t="s">
        <v>4</v>
      </c>
    </row>
    <row r="5685" spans="1:4" outlineLevel="1" x14ac:dyDescent="0.25">
      <c r="A5685" t="s">
        <v>677</v>
      </c>
      <c r="B5685" t="s">
        <v>28</v>
      </c>
      <c r="C5685" s="1" t="str">
        <f>HYPERLINK("http://продеталь.рф/search.html?article=RA64161","RA64161")</f>
        <v>RA64161</v>
      </c>
      <c r="D5685" t="s">
        <v>6</v>
      </c>
    </row>
    <row r="5686" spans="1:4" outlineLevel="1" x14ac:dyDescent="0.25">
      <c r="A5686" t="s">
        <v>677</v>
      </c>
      <c r="B5686" t="s">
        <v>28</v>
      </c>
      <c r="C5686" s="1" t="str">
        <f>HYPERLINK("http://продеталь.рф/search.html?article=RA64200","RA64200")</f>
        <v>RA64200</v>
      </c>
      <c r="D5686" t="s">
        <v>6</v>
      </c>
    </row>
    <row r="5687" spans="1:4" outlineLevel="1" x14ac:dyDescent="0.25">
      <c r="A5687" t="s">
        <v>677</v>
      </c>
      <c r="B5687" t="s">
        <v>12</v>
      </c>
      <c r="C5687" s="1" t="str">
        <f>HYPERLINK("http://продеталь.рф/search.html?article=SZ07039GA","SZ07039GA")</f>
        <v>SZ07039GA</v>
      </c>
      <c r="D5687" t="s">
        <v>2</v>
      </c>
    </row>
    <row r="5688" spans="1:4" x14ac:dyDescent="0.25">
      <c r="A5688" t="s">
        <v>678</v>
      </c>
      <c r="B5688" s="2" t="s">
        <v>678</v>
      </c>
      <c r="C5688" s="2"/>
      <c r="D5688" s="2"/>
    </row>
    <row r="5689" spans="1:4" outlineLevel="1" x14ac:dyDescent="0.25">
      <c r="A5689" t="s">
        <v>678</v>
      </c>
      <c r="B5689" t="s">
        <v>15</v>
      </c>
      <c r="C5689" s="1" t="str">
        <f>HYPERLINK("http://продеталь.рф/search.html?article=388SZD070TP","388SZD070TP")</f>
        <v>388SZD070TP</v>
      </c>
      <c r="D5689" t="s">
        <v>4</v>
      </c>
    </row>
    <row r="5690" spans="1:4" outlineLevel="1" x14ac:dyDescent="0.25">
      <c r="A5690" t="s">
        <v>678</v>
      </c>
      <c r="B5690" t="s">
        <v>15</v>
      </c>
      <c r="C5690" s="1" t="str">
        <f>HYPERLINK("http://продеталь.рф/search.html?article=388SZD069TP","388SZD069TP")</f>
        <v>388SZD069TP</v>
      </c>
      <c r="D5690" t="s">
        <v>4</v>
      </c>
    </row>
    <row r="5691" spans="1:4" outlineLevel="1" x14ac:dyDescent="0.25">
      <c r="A5691" t="s">
        <v>678</v>
      </c>
      <c r="B5691" t="s">
        <v>24</v>
      </c>
      <c r="C5691" s="1" t="str">
        <f>HYPERLINK("http://продеталь.рф/search.html?article=SZ10032AR","SZ10032AR")</f>
        <v>SZ10032AR</v>
      </c>
      <c r="D5691" t="s">
        <v>2</v>
      </c>
    </row>
    <row r="5692" spans="1:4" outlineLevel="1" x14ac:dyDescent="0.25">
      <c r="A5692" t="s">
        <v>678</v>
      </c>
      <c r="B5692" t="s">
        <v>24</v>
      </c>
      <c r="C5692" s="1" t="str">
        <f>HYPERLINK("http://продеталь.рф/search.html?article=99A42AR","99A42AR")</f>
        <v>99A42AR</v>
      </c>
      <c r="D5692" t="s">
        <v>36</v>
      </c>
    </row>
    <row r="5693" spans="1:4" outlineLevel="1" x14ac:dyDescent="0.25">
      <c r="A5693" t="s">
        <v>678</v>
      </c>
      <c r="B5693" t="s">
        <v>266</v>
      </c>
      <c r="C5693" s="1" t="str">
        <f>HYPERLINK("http://продеталь.рф/search.html?article=723SZ0021","723SZ0021")</f>
        <v>723SZ0021</v>
      </c>
      <c r="D5693" t="s">
        <v>4</v>
      </c>
    </row>
    <row r="5694" spans="1:4" outlineLevel="1" x14ac:dyDescent="0.25">
      <c r="A5694" t="s">
        <v>678</v>
      </c>
      <c r="B5694" t="s">
        <v>3</v>
      </c>
      <c r="C5694" s="1" t="str">
        <f>HYPERLINK("http://продеталь.рф/search.html?article=20C172052B","20C172052B")</f>
        <v>20C172052B</v>
      </c>
      <c r="D5694" t="s">
        <v>4</v>
      </c>
    </row>
    <row r="5695" spans="1:4" outlineLevel="1" x14ac:dyDescent="0.25">
      <c r="A5695" t="s">
        <v>678</v>
      </c>
      <c r="B5695" t="s">
        <v>5</v>
      </c>
      <c r="C5695" s="1" t="str">
        <f>HYPERLINK("http://продеталь.рф/search.html?article=SZ830016L0L00","SZ830016L0L00")</f>
        <v>SZ830016L0L00</v>
      </c>
      <c r="D5695" t="s">
        <v>9</v>
      </c>
    </row>
    <row r="5696" spans="1:4" outlineLevel="1" x14ac:dyDescent="0.25">
      <c r="A5696" t="s">
        <v>678</v>
      </c>
      <c r="B5696" t="s">
        <v>263</v>
      </c>
      <c r="C5696" s="1" t="str">
        <f>HYPERLINK("http://продеталь.рф/search.html?article=SZ830009U0L00","SZ830009U0L00")</f>
        <v>SZ830009U0L00</v>
      </c>
      <c r="D5696" t="s">
        <v>9</v>
      </c>
    </row>
    <row r="5697" spans="1:4" outlineLevel="1" x14ac:dyDescent="0.25">
      <c r="A5697" t="s">
        <v>678</v>
      </c>
      <c r="B5697" t="s">
        <v>40</v>
      </c>
      <c r="C5697" s="1" t="str">
        <f>HYPERLINK("http://продеталь.рф/search.html?article=SZ83000G0","SZ83000G0")</f>
        <v>SZ83000G0</v>
      </c>
      <c r="D5697" t="s">
        <v>9</v>
      </c>
    </row>
    <row r="5698" spans="1:4" outlineLevel="1" x14ac:dyDescent="0.25">
      <c r="A5698" t="s">
        <v>678</v>
      </c>
      <c r="B5698" t="s">
        <v>12</v>
      </c>
      <c r="C5698" s="1" t="str">
        <f>HYPERLINK("http://продеталь.рф/search.html?article=PSZ07048GA","PSZ07048GA")</f>
        <v>PSZ07048GA</v>
      </c>
      <c r="D5698" t="s">
        <v>6</v>
      </c>
    </row>
    <row r="5699" spans="1:4" x14ac:dyDescent="0.25">
      <c r="A5699" t="s">
        <v>679</v>
      </c>
      <c r="B5699" s="2" t="s">
        <v>679</v>
      </c>
      <c r="C5699" s="2"/>
      <c r="D5699" s="2"/>
    </row>
    <row r="5700" spans="1:4" outlineLevel="1" x14ac:dyDescent="0.25">
      <c r="A5700" t="s">
        <v>679</v>
      </c>
      <c r="B5700" t="s">
        <v>3</v>
      </c>
      <c r="C5700" s="1" t="str">
        <f>HYPERLINK("http://продеталь.рф/search.html?article=200358052","200358052")</f>
        <v>200358052</v>
      </c>
      <c r="D5700" t="s">
        <v>4</v>
      </c>
    </row>
    <row r="5701" spans="1:4" x14ac:dyDescent="0.25">
      <c r="A5701" t="s">
        <v>680</v>
      </c>
      <c r="B5701" s="2" t="s">
        <v>680</v>
      </c>
      <c r="C5701" s="2"/>
      <c r="D5701" s="2"/>
    </row>
    <row r="5702" spans="1:4" outlineLevel="1" x14ac:dyDescent="0.25">
      <c r="A5702" t="s">
        <v>680</v>
      </c>
      <c r="B5702" t="s">
        <v>24</v>
      </c>
      <c r="C5702" s="1" t="str">
        <f>HYPERLINK("http://продеталь.рф/search.html?article=SZ10024BL","SZ10024BL")</f>
        <v>SZ10024BL</v>
      </c>
      <c r="D5702" t="s">
        <v>2</v>
      </c>
    </row>
    <row r="5703" spans="1:4" outlineLevel="1" x14ac:dyDescent="0.25">
      <c r="A5703" t="s">
        <v>680</v>
      </c>
      <c r="B5703" t="s">
        <v>24</v>
      </c>
      <c r="C5703" s="1" t="str">
        <f>HYPERLINK("http://продеталь.рф/search.html?article=SZ10024BR","SZ10024BR")</f>
        <v>SZ10024BR</v>
      </c>
      <c r="D5703" t="s">
        <v>2</v>
      </c>
    </row>
    <row r="5704" spans="1:4" outlineLevel="1" x14ac:dyDescent="0.25">
      <c r="A5704" t="s">
        <v>680</v>
      </c>
      <c r="B5704" t="s">
        <v>27</v>
      </c>
      <c r="C5704" s="1" t="str">
        <f>HYPERLINK("http://продеталь.рф/search.html?article=SZ30010AL","SZ30010AL")</f>
        <v>SZ30010AL</v>
      </c>
      <c r="D5704" t="s">
        <v>2</v>
      </c>
    </row>
    <row r="5705" spans="1:4" outlineLevel="1" x14ac:dyDescent="0.25">
      <c r="A5705" t="s">
        <v>680</v>
      </c>
      <c r="B5705" t="s">
        <v>27</v>
      </c>
      <c r="C5705" s="1" t="str">
        <f>HYPERLINK("http://продеталь.рф/search.html?article=SZ30010AR","SZ30010AR")</f>
        <v>SZ30010AR</v>
      </c>
      <c r="D5705" t="s">
        <v>2</v>
      </c>
    </row>
    <row r="5706" spans="1:4" outlineLevel="1" x14ac:dyDescent="0.25">
      <c r="A5706" t="s">
        <v>680</v>
      </c>
      <c r="B5706" t="s">
        <v>13</v>
      </c>
      <c r="C5706" s="1" t="str">
        <f>HYPERLINK("http://продеталь.рф/search.html?article=SZ52000R0","SZ52000R0")</f>
        <v>SZ52000R0</v>
      </c>
      <c r="D5706" t="s">
        <v>9</v>
      </c>
    </row>
    <row r="5707" spans="1:4" x14ac:dyDescent="0.25">
      <c r="A5707" t="s">
        <v>681</v>
      </c>
      <c r="B5707" s="2" t="s">
        <v>681</v>
      </c>
      <c r="C5707" s="2"/>
      <c r="D5707" s="2"/>
    </row>
    <row r="5708" spans="1:4" outlineLevel="1" x14ac:dyDescent="0.25">
      <c r="A5708" t="s">
        <v>681</v>
      </c>
      <c r="B5708" t="s">
        <v>23</v>
      </c>
      <c r="C5708" s="1" t="str">
        <f>HYPERLINK("http://продеталь.рф/search.html?article=110804012","110804012")</f>
        <v>110804012</v>
      </c>
      <c r="D5708" t="s">
        <v>4</v>
      </c>
    </row>
    <row r="5709" spans="1:4" outlineLevel="1" x14ac:dyDescent="0.25">
      <c r="A5709" t="s">
        <v>681</v>
      </c>
      <c r="B5709" t="s">
        <v>23</v>
      </c>
      <c r="C5709" s="1" t="str">
        <f>HYPERLINK("http://продеталь.рф/search.html?article=11B372012B","11B372012B")</f>
        <v>11B372012B</v>
      </c>
      <c r="D5709" t="s">
        <v>4</v>
      </c>
    </row>
    <row r="5710" spans="1:4" outlineLevel="1" x14ac:dyDescent="0.25">
      <c r="A5710" t="s">
        <v>681</v>
      </c>
      <c r="B5710" t="s">
        <v>23</v>
      </c>
      <c r="C5710" s="1" t="str">
        <f>HYPERLINK("http://продеталь.рф/search.html?article=11B371012B","11B371012B")</f>
        <v>11B371012B</v>
      </c>
      <c r="D5710" t="s">
        <v>4</v>
      </c>
    </row>
    <row r="5711" spans="1:4" outlineLevel="1" x14ac:dyDescent="0.25">
      <c r="A5711" t="s">
        <v>681</v>
      </c>
      <c r="B5711" t="s">
        <v>3</v>
      </c>
      <c r="C5711" s="1" t="str">
        <f>HYPERLINK("http://продеталь.рф/search.html?article=200700052","200700052")</f>
        <v>200700052</v>
      </c>
      <c r="D5711" t="s">
        <v>4</v>
      </c>
    </row>
    <row r="5712" spans="1:4" outlineLevel="1" x14ac:dyDescent="0.25">
      <c r="A5712" t="s">
        <v>681</v>
      </c>
      <c r="B5712" t="s">
        <v>3</v>
      </c>
      <c r="C5712" s="1" t="str">
        <f>HYPERLINK("http://продеталь.рф/search.html?article=200699052","200699052")</f>
        <v>200699052</v>
      </c>
      <c r="D5712" t="s">
        <v>4</v>
      </c>
    </row>
    <row r="5713" spans="1:4" outlineLevel="1" x14ac:dyDescent="0.25">
      <c r="A5713" t="s">
        <v>681</v>
      </c>
      <c r="B5713" t="s">
        <v>5</v>
      </c>
      <c r="C5713" s="1" t="str">
        <f>HYPERLINK("http://продеталь.рф/search.html?article=SZ11029AR","SZ11029AR")</f>
        <v>SZ11029AR</v>
      </c>
      <c r="D5713" t="s">
        <v>2</v>
      </c>
    </row>
    <row r="5714" spans="1:4" outlineLevel="1" x14ac:dyDescent="0.25">
      <c r="A5714" t="s">
        <v>681</v>
      </c>
      <c r="B5714" t="s">
        <v>30</v>
      </c>
      <c r="C5714" s="1" t="str">
        <f>HYPERLINK("http://продеталь.рф/search.html?article=SZ33000G2","SZ33000G2")</f>
        <v>SZ33000G2</v>
      </c>
      <c r="D5714" t="s">
        <v>9</v>
      </c>
    </row>
    <row r="5715" spans="1:4" outlineLevel="1" x14ac:dyDescent="0.25">
      <c r="A5715" t="s">
        <v>681</v>
      </c>
      <c r="B5715" t="s">
        <v>30</v>
      </c>
      <c r="C5715" s="1" t="str">
        <f>HYPERLINK("http://продеталь.рф/search.html?article=SZ33000G1","SZ33000G1")</f>
        <v>SZ33000G1</v>
      </c>
      <c r="D5715" t="s">
        <v>9</v>
      </c>
    </row>
    <row r="5716" spans="1:4" outlineLevel="1" x14ac:dyDescent="0.25">
      <c r="A5716" t="s">
        <v>681</v>
      </c>
      <c r="B5716" t="s">
        <v>40</v>
      </c>
      <c r="C5716" s="1" t="str">
        <f>HYPERLINK("http://продеталь.рф/search.html?article=SZ07047GA","SZ07047GA")</f>
        <v>SZ07047GA</v>
      </c>
      <c r="D5716" t="s">
        <v>2</v>
      </c>
    </row>
    <row r="5717" spans="1:4" outlineLevel="1" x14ac:dyDescent="0.25">
      <c r="A5717" t="s">
        <v>681</v>
      </c>
      <c r="B5717" t="s">
        <v>12</v>
      </c>
      <c r="C5717" s="1" t="str">
        <f>HYPERLINK("http://продеталь.рф/search.html?article=SZ33009300100","SZ33009300100")</f>
        <v>SZ33009300100</v>
      </c>
      <c r="D5717" t="s">
        <v>9</v>
      </c>
    </row>
    <row r="5718" spans="1:4" outlineLevel="1" x14ac:dyDescent="0.25">
      <c r="A5718" t="s">
        <v>681</v>
      </c>
      <c r="B5718" t="s">
        <v>13</v>
      </c>
      <c r="C5718" s="1" t="str">
        <f>HYPERLINK("http://продеталь.рф/search.html?article=SZ33000R0","SZ33000R0")</f>
        <v>SZ33000R0</v>
      </c>
      <c r="D5718" t="s">
        <v>9</v>
      </c>
    </row>
    <row r="5719" spans="1:4" outlineLevel="1" x14ac:dyDescent="0.25">
      <c r="A5719" t="s">
        <v>681</v>
      </c>
      <c r="B5719" t="s">
        <v>13</v>
      </c>
      <c r="C5719" s="1" t="str">
        <f>HYPERLINK("http://продеталь.рф/search.html?article=SZ33000RA0","SZ33000RA0")</f>
        <v>SZ33000RA0</v>
      </c>
      <c r="D5719" t="s">
        <v>9</v>
      </c>
    </row>
    <row r="5720" spans="1:4" x14ac:dyDescent="0.25">
      <c r="A5720" t="s">
        <v>682</v>
      </c>
      <c r="B5720" s="2" t="s">
        <v>682</v>
      </c>
      <c r="C5720" s="2"/>
      <c r="D5720" s="2"/>
    </row>
    <row r="5721" spans="1:4" outlineLevel="1" x14ac:dyDescent="0.25">
      <c r="A5721" t="s">
        <v>682</v>
      </c>
      <c r="B5721" t="s">
        <v>11</v>
      </c>
      <c r="C5721" s="1" t="str">
        <f>HYPERLINK("http://продеталь.рф/search.html?article=SZ04069BB","SZ04069BB")</f>
        <v>SZ04069BB</v>
      </c>
      <c r="D5721" t="s">
        <v>2</v>
      </c>
    </row>
    <row r="5722" spans="1:4" outlineLevel="1" x14ac:dyDescent="0.25">
      <c r="A5722" t="s">
        <v>682</v>
      </c>
      <c r="B5722" t="s">
        <v>15</v>
      </c>
      <c r="C5722" s="1" t="str">
        <f>HYPERLINK("http://продеталь.рф/search.html?article=388SZD065EP","388SZD065EP")</f>
        <v>388SZD065EP</v>
      </c>
      <c r="D5722" t="s">
        <v>4</v>
      </c>
    </row>
    <row r="5723" spans="1:4" outlineLevel="1" x14ac:dyDescent="0.25">
      <c r="A5723" t="s">
        <v>682</v>
      </c>
      <c r="B5723" t="s">
        <v>24</v>
      </c>
      <c r="C5723" s="1" t="str">
        <f>HYPERLINK("http://продеталь.рф/search.html?article=SZ10037AL","SZ10037AL")</f>
        <v>SZ10037AL</v>
      </c>
      <c r="D5723" t="s">
        <v>2</v>
      </c>
    </row>
    <row r="5724" spans="1:4" outlineLevel="1" x14ac:dyDescent="0.25">
      <c r="A5724" t="s">
        <v>682</v>
      </c>
      <c r="B5724" t="s">
        <v>24</v>
      </c>
      <c r="C5724" s="1" t="str">
        <f>HYPERLINK("http://продеталь.рф/search.html?article=SZ10037AR","SZ10037AR")</f>
        <v>SZ10037AR</v>
      </c>
      <c r="D5724" t="s">
        <v>2</v>
      </c>
    </row>
    <row r="5725" spans="1:4" outlineLevel="1" x14ac:dyDescent="0.25">
      <c r="A5725" t="s">
        <v>682</v>
      </c>
      <c r="B5725" t="s">
        <v>103</v>
      </c>
      <c r="C5725" s="1" t="str">
        <f>HYPERLINK("http://продеталь.рф/search.html?article=PSZ99016CA","PSZ99016CA")</f>
        <v>PSZ99016CA</v>
      </c>
      <c r="D5725" t="s">
        <v>6</v>
      </c>
    </row>
    <row r="5726" spans="1:4" outlineLevel="1" x14ac:dyDescent="0.25">
      <c r="A5726" t="s">
        <v>682</v>
      </c>
      <c r="B5726" t="s">
        <v>683</v>
      </c>
      <c r="C5726" s="1" t="str">
        <f>HYPERLINK("http://продеталь.рф/search.html?article=PSZ17001AL","PSZ17001AL")</f>
        <v>PSZ17001AL</v>
      </c>
      <c r="D5726" t="s">
        <v>6</v>
      </c>
    </row>
    <row r="5727" spans="1:4" outlineLevel="1" x14ac:dyDescent="0.25">
      <c r="A5727" t="s">
        <v>682</v>
      </c>
      <c r="B5727" t="s">
        <v>27</v>
      </c>
      <c r="C5727" s="1" t="str">
        <f>HYPERLINK("http://продеталь.рф/search.html?article=SZ521009U0L00","SZ521009U0L00")</f>
        <v>SZ521009U0L00</v>
      </c>
      <c r="D5727" t="s">
        <v>9</v>
      </c>
    </row>
    <row r="5728" spans="1:4" outlineLevel="1" x14ac:dyDescent="0.25">
      <c r="A5728" t="s">
        <v>682</v>
      </c>
      <c r="B5728" t="s">
        <v>27</v>
      </c>
      <c r="C5728" s="1" t="str">
        <f>HYPERLINK("http://продеталь.рф/search.html?article=SZ521009U0R00","SZ521009U0R00")</f>
        <v>SZ521009U0R00</v>
      </c>
      <c r="D5728" t="s">
        <v>9</v>
      </c>
    </row>
    <row r="5729" spans="1:4" outlineLevel="1" x14ac:dyDescent="0.25">
      <c r="A5729" t="s">
        <v>682</v>
      </c>
      <c r="B5729" t="s">
        <v>3</v>
      </c>
      <c r="C5729" s="1" t="str">
        <f>HYPERLINK("http://продеталь.рф/search.html?article=20B918A62B","20B918A62B")</f>
        <v>20B918A62B</v>
      </c>
      <c r="D5729" t="s">
        <v>4</v>
      </c>
    </row>
    <row r="5730" spans="1:4" outlineLevel="1" x14ac:dyDescent="0.25">
      <c r="A5730" t="s">
        <v>682</v>
      </c>
      <c r="B5730" t="s">
        <v>3</v>
      </c>
      <c r="C5730" s="1" t="str">
        <f>HYPERLINK("http://продеталь.рф/search.html?article=20B917A62B","20B917A62B")</f>
        <v>20B917A62B</v>
      </c>
      <c r="D5730" t="s">
        <v>4</v>
      </c>
    </row>
    <row r="5731" spans="1:4" outlineLevel="1" x14ac:dyDescent="0.25">
      <c r="A5731" t="s">
        <v>682</v>
      </c>
      <c r="B5731" t="s">
        <v>3</v>
      </c>
      <c r="C5731" s="1" t="str">
        <f>HYPERLINK("http://продеталь.рф/search.html?article=20B917062B","20B917062B")</f>
        <v>20B917062B</v>
      </c>
      <c r="D5731" t="s">
        <v>4</v>
      </c>
    </row>
    <row r="5732" spans="1:4" outlineLevel="1" x14ac:dyDescent="0.25">
      <c r="A5732" t="s">
        <v>682</v>
      </c>
      <c r="B5732" t="s">
        <v>5</v>
      </c>
      <c r="C5732" s="1" t="str">
        <f>HYPERLINK("http://продеталь.рф/search.html?article=SZ11037AL","SZ11037AL")</f>
        <v>SZ11037AL</v>
      </c>
      <c r="D5732" t="s">
        <v>2</v>
      </c>
    </row>
    <row r="5733" spans="1:4" outlineLevel="1" x14ac:dyDescent="0.25">
      <c r="A5733" t="s">
        <v>682</v>
      </c>
      <c r="B5733" t="s">
        <v>5</v>
      </c>
      <c r="C5733" s="1" t="str">
        <f>HYPERLINK("http://продеталь.рф/search.html?article=SZ11037AR","SZ11037AR")</f>
        <v>SZ11037AR</v>
      </c>
      <c r="D5733" t="s">
        <v>2</v>
      </c>
    </row>
    <row r="5734" spans="1:4" outlineLevel="1" x14ac:dyDescent="0.25">
      <c r="A5734" t="s">
        <v>682</v>
      </c>
      <c r="B5734" t="s">
        <v>19</v>
      </c>
      <c r="C5734" s="1" t="str">
        <f>HYPERLINK("http://продеталь.рф/search.html?article=190836019","190836019")</f>
        <v>190836019</v>
      </c>
      <c r="D5734" t="s">
        <v>4</v>
      </c>
    </row>
    <row r="5735" spans="1:4" outlineLevel="1" x14ac:dyDescent="0.25">
      <c r="A5735" t="s">
        <v>682</v>
      </c>
      <c r="B5735" t="s">
        <v>19</v>
      </c>
      <c r="C5735" s="1" t="str">
        <f>HYPERLINK("http://продеталь.рф/search.html?article=190835019","190835019")</f>
        <v>190835019</v>
      </c>
      <c r="D5735" t="s">
        <v>4</v>
      </c>
    </row>
    <row r="5736" spans="1:4" outlineLevel="1" x14ac:dyDescent="0.25">
      <c r="A5736" t="s">
        <v>682</v>
      </c>
      <c r="B5736" t="s">
        <v>263</v>
      </c>
      <c r="C5736" s="1" t="str">
        <f>HYPERLINK("http://продеталь.рф/search.html?article=SZ521009S0L00","SZ521009S0L00")</f>
        <v>SZ521009S0L00</v>
      </c>
      <c r="D5736" t="s">
        <v>9</v>
      </c>
    </row>
    <row r="5737" spans="1:4" outlineLevel="1" x14ac:dyDescent="0.25">
      <c r="A5737" t="s">
        <v>682</v>
      </c>
      <c r="B5737" t="s">
        <v>12</v>
      </c>
      <c r="C5737" s="1" t="str">
        <f>HYPERLINK("http://продеталь.рф/search.html?article=SZ52109300000","SZ52109300000")</f>
        <v>SZ52109300000</v>
      </c>
      <c r="D5737" t="s">
        <v>9</v>
      </c>
    </row>
    <row r="5738" spans="1:4" outlineLevel="1" x14ac:dyDescent="0.25">
      <c r="A5738" t="s">
        <v>682</v>
      </c>
      <c r="B5738" t="s">
        <v>71</v>
      </c>
      <c r="C5738" s="1" t="str">
        <f>HYPERLINK("http://продеталь.рф/search.html?article=SZ52101301000","SZ52101301000")</f>
        <v>SZ52101301000</v>
      </c>
      <c r="D5738" t="s">
        <v>9</v>
      </c>
    </row>
    <row r="5739" spans="1:4" x14ac:dyDescent="0.25">
      <c r="A5739" t="s">
        <v>684</v>
      </c>
      <c r="B5739" s="2" t="s">
        <v>684</v>
      </c>
      <c r="C5739" s="2"/>
      <c r="D5739" s="2"/>
    </row>
    <row r="5740" spans="1:4" outlineLevel="1" x14ac:dyDescent="0.25">
      <c r="A5740" t="s">
        <v>684</v>
      </c>
      <c r="B5740" t="s">
        <v>27</v>
      </c>
      <c r="C5740" s="1" t="str">
        <f>HYPERLINK("http://продеталь.рф/search.html?article=TY95009E0","TY95009E0")</f>
        <v>TY95009E0</v>
      </c>
      <c r="D5740" t="s">
        <v>9</v>
      </c>
    </row>
    <row r="5741" spans="1:4" x14ac:dyDescent="0.25">
      <c r="A5741" t="s">
        <v>685</v>
      </c>
      <c r="B5741" s="2" t="s">
        <v>685</v>
      </c>
      <c r="C5741" s="2"/>
      <c r="D5741" s="2"/>
    </row>
    <row r="5742" spans="1:4" outlineLevel="1" x14ac:dyDescent="0.25">
      <c r="A5742" t="s">
        <v>685</v>
      </c>
      <c r="B5742" t="s">
        <v>11</v>
      </c>
      <c r="C5742" s="1" t="str">
        <f>HYPERLINK("http://продеталь.рф/search.html?article=TU02","TU02")</f>
        <v>TU02</v>
      </c>
      <c r="D5742" t="s">
        <v>18</v>
      </c>
    </row>
    <row r="5743" spans="1:4" outlineLevel="1" x14ac:dyDescent="0.25">
      <c r="A5743" t="s">
        <v>685</v>
      </c>
      <c r="B5743" t="s">
        <v>101</v>
      </c>
      <c r="C5743" s="1" t="str">
        <f>HYPERLINK("http://продеталь.рф/search.html?article=TY290000C0L00","TY290000C0L00")</f>
        <v>TY290000C0L00</v>
      </c>
      <c r="D5743" t="s">
        <v>9</v>
      </c>
    </row>
    <row r="5744" spans="1:4" outlineLevel="1" x14ac:dyDescent="0.25">
      <c r="A5744" t="s">
        <v>685</v>
      </c>
      <c r="B5744" t="s">
        <v>35</v>
      </c>
      <c r="C5744" s="1" t="str">
        <f>HYPERLINK("http://продеталь.рф/search.html?article=EC0032H","EC0032H")</f>
        <v>EC0032H</v>
      </c>
      <c r="D5744" t="s">
        <v>36</v>
      </c>
    </row>
    <row r="5745" spans="1:4" outlineLevel="1" x14ac:dyDescent="0.25">
      <c r="A5745" t="s">
        <v>685</v>
      </c>
      <c r="B5745" t="s">
        <v>1</v>
      </c>
      <c r="C5745" s="1" t="str">
        <f>HYPERLINK("http://продеталь.рф/search.html?article=TY20157A","TY20157A")</f>
        <v>TY20157A</v>
      </c>
      <c r="D5745" t="s">
        <v>2</v>
      </c>
    </row>
    <row r="5746" spans="1:4" outlineLevel="1" x14ac:dyDescent="0.25">
      <c r="A5746" t="s">
        <v>685</v>
      </c>
      <c r="B5746" t="s">
        <v>24</v>
      </c>
      <c r="C5746" s="1" t="str">
        <f>HYPERLINK("http://продеталь.рф/search.html?article=TY29001600L00","TY29001600L00")</f>
        <v>TY29001600L00</v>
      </c>
      <c r="D5746" t="s">
        <v>9</v>
      </c>
    </row>
    <row r="5747" spans="1:4" outlineLevel="1" x14ac:dyDescent="0.25">
      <c r="A5747" t="s">
        <v>685</v>
      </c>
      <c r="B5747" t="s">
        <v>24</v>
      </c>
      <c r="C5747" s="1" t="str">
        <f>HYPERLINK("http://продеталь.рф/search.html?article=TY29001600R00","TY29001600R00")</f>
        <v>TY29001600R00</v>
      </c>
      <c r="D5747" t="s">
        <v>9</v>
      </c>
    </row>
    <row r="5748" spans="1:4" outlineLevel="1" x14ac:dyDescent="0.25">
      <c r="A5748" t="s">
        <v>685</v>
      </c>
      <c r="B5748" t="s">
        <v>24</v>
      </c>
      <c r="C5748" s="1" t="str">
        <f>HYPERLINK("http://продеталь.рф/search.html?article=TY29001601L00","TY29001601L00")</f>
        <v>TY29001601L00</v>
      </c>
      <c r="D5748" t="s">
        <v>9</v>
      </c>
    </row>
    <row r="5749" spans="1:4" outlineLevel="1" x14ac:dyDescent="0.25">
      <c r="A5749" t="s">
        <v>685</v>
      </c>
      <c r="B5749" t="s">
        <v>24</v>
      </c>
      <c r="C5749" s="1" t="str">
        <f>HYPERLINK("http://продеталь.рф/search.html?article=TY29001601R00","TY29001601R00")</f>
        <v>TY29001601R00</v>
      </c>
      <c r="D5749" t="s">
        <v>9</v>
      </c>
    </row>
    <row r="5750" spans="1:4" outlineLevel="1" x14ac:dyDescent="0.25">
      <c r="A5750" t="s">
        <v>685</v>
      </c>
      <c r="B5750" t="s">
        <v>66</v>
      </c>
      <c r="C5750" s="1" t="str">
        <f>HYPERLINK("http://продеталь.рф/search.html?article=BK062","BK062")</f>
        <v>BK062</v>
      </c>
      <c r="D5750" t="s">
        <v>6</v>
      </c>
    </row>
    <row r="5751" spans="1:4" outlineLevel="1" x14ac:dyDescent="0.25">
      <c r="A5751" t="s">
        <v>685</v>
      </c>
      <c r="B5751" t="s">
        <v>27</v>
      </c>
      <c r="C5751" s="1" t="str">
        <f>HYPERLINK("http://продеталь.рф/search.html?article=TY29000900000","TY29000900000")</f>
        <v>TY29000900000</v>
      </c>
      <c r="D5751" t="s">
        <v>9</v>
      </c>
    </row>
    <row r="5752" spans="1:4" outlineLevel="1" x14ac:dyDescent="0.25">
      <c r="A5752" t="s">
        <v>685</v>
      </c>
      <c r="B5752" t="s">
        <v>3</v>
      </c>
      <c r="C5752" s="1" t="str">
        <f>HYPERLINK("http://продеталь.рф/search.html?article=20B338A52B","20B338A52B")</f>
        <v>20B338A52B</v>
      </c>
      <c r="D5752" t="s">
        <v>4</v>
      </c>
    </row>
    <row r="5753" spans="1:4" outlineLevel="1" x14ac:dyDescent="0.25">
      <c r="A5753" t="s">
        <v>685</v>
      </c>
      <c r="B5753" t="s">
        <v>3</v>
      </c>
      <c r="C5753" s="1" t="str">
        <f>HYPERLINK("http://продеталь.рф/search.html?article=20B337A52B","20B337A52B")</f>
        <v>20B337A52B</v>
      </c>
      <c r="D5753" t="s">
        <v>4</v>
      </c>
    </row>
    <row r="5754" spans="1:4" outlineLevel="1" x14ac:dyDescent="0.25">
      <c r="A5754" t="s">
        <v>685</v>
      </c>
      <c r="B5754" t="s">
        <v>3</v>
      </c>
      <c r="C5754" s="1" t="str">
        <f>HYPERLINK("http://продеталь.рф/search.html?article=20B338052B","20B338052B")</f>
        <v>20B338052B</v>
      </c>
      <c r="D5754" t="s">
        <v>4</v>
      </c>
    </row>
    <row r="5755" spans="1:4" outlineLevel="1" x14ac:dyDescent="0.25">
      <c r="A5755" t="s">
        <v>685</v>
      </c>
      <c r="B5755" t="s">
        <v>139</v>
      </c>
      <c r="C5755" s="1" t="str">
        <f>HYPERLINK("http://продеталь.рф/search.html?article=TY21157AL","TY21157AL")</f>
        <v>TY21157AL</v>
      </c>
      <c r="D5755" t="s">
        <v>2</v>
      </c>
    </row>
    <row r="5756" spans="1:4" outlineLevel="1" x14ac:dyDescent="0.25">
      <c r="A5756" t="s">
        <v>685</v>
      </c>
      <c r="B5756" t="s">
        <v>5</v>
      </c>
      <c r="C5756" s="1" t="str">
        <f>HYPERLINK("http://продеталь.рф/search.html?article=212633","212633")</f>
        <v>212633</v>
      </c>
      <c r="D5756" t="s">
        <v>21</v>
      </c>
    </row>
    <row r="5757" spans="1:4" outlineLevel="1" x14ac:dyDescent="0.25">
      <c r="A5757" t="s">
        <v>685</v>
      </c>
      <c r="B5757" t="s">
        <v>5</v>
      </c>
      <c r="C5757" s="1" t="str">
        <f>HYPERLINK("http://продеталь.рф/search.html?article=212634","212634")</f>
        <v>212634</v>
      </c>
      <c r="D5757" t="s">
        <v>21</v>
      </c>
    </row>
    <row r="5758" spans="1:4" outlineLevel="1" x14ac:dyDescent="0.25">
      <c r="A5758" t="s">
        <v>685</v>
      </c>
      <c r="B5758" t="s">
        <v>19</v>
      </c>
      <c r="C5758" s="1" t="str">
        <f>HYPERLINK("http://продеталь.рф/search.html?article=ZTY2052KL","ZTY2052KL")</f>
        <v>ZTY2052KL</v>
      </c>
      <c r="D5758" t="s">
        <v>6</v>
      </c>
    </row>
    <row r="5759" spans="1:4" outlineLevel="1" x14ac:dyDescent="0.25">
      <c r="A5759" t="s">
        <v>685</v>
      </c>
      <c r="B5759" t="s">
        <v>263</v>
      </c>
      <c r="C5759" s="1" t="str">
        <f>HYPERLINK("http://продеталь.рф/search.html?article=PTY30115AUR","PTY30115AUR")</f>
        <v>PTY30115AUR</v>
      </c>
      <c r="D5759" t="s">
        <v>6</v>
      </c>
    </row>
    <row r="5760" spans="1:4" outlineLevel="1" x14ac:dyDescent="0.25">
      <c r="A5760" t="s">
        <v>685</v>
      </c>
      <c r="B5760" t="s">
        <v>40</v>
      </c>
      <c r="C5760" s="1" t="str">
        <f>HYPERLINK("http://продеталь.рф/search.html?article=TY99086CAR","TY99086CAR")</f>
        <v>TY99086CAR</v>
      </c>
      <c r="D5760" t="s">
        <v>2</v>
      </c>
    </row>
    <row r="5761" spans="1:4" outlineLevel="1" x14ac:dyDescent="0.25">
      <c r="A5761" t="s">
        <v>685</v>
      </c>
      <c r="B5761" t="s">
        <v>40</v>
      </c>
      <c r="C5761" s="1" t="str">
        <f>HYPERLINK("http://продеталь.рф/search.html?article=TY07402GA","TY07402GA")</f>
        <v>TY07402GA</v>
      </c>
      <c r="D5761" t="s">
        <v>2</v>
      </c>
    </row>
    <row r="5762" spans="1:4" outlineLevel="1" x14ac:dyDescent="0.25">
      <c r="A5762" t="s">
        <v>685</v>
      </c>
      <c r="B5762" t="s">
        <v>12</v>
      </c>
      <c r="C5762" s="1" t="str">
        <f>HYPERLINK("http://продеталь.рф/search.html?article=GD4263","GD4263")</f>
        <v>GD4263</v>
      </c>
      <c r="D5762" t="s">
        <v>2</v>
      </c>
    </row>
    <row r="5763" spans="1:4" outlineLevel="1" x14ac:dyDescent="0.25">
      <c r="A5763" t="s">
        <v>685</v>
      </c>
      <c r="B5763" t="s">
        <v>13</v>
      </c>
      <c r="C5763" s="1" t="str">
        <f>HYPERLINK("http://продеталь.рф/search.html?article=PTY44411A","PTY44411A")</f>
        <v>PTY44411A</v>
      </c>
      <c r="D5763" t="s">
        <v>6</v>
      </c>
    </row>
    <row r="5764" spans="1:4" x14ac:dyDescent="0.25">
      <c r="A5764" t="s">
        <v>686</v>
      </c>
      <c r="B5764" s="2" t="s">
        <v>686</v>
      </c>
      <c r="C5764" s="2"/>
      <c r="D5764" s="2"/>
    </row>
    <row r="5765" spans="1:4" outlineLevel="1" x14ac:dyDescent="0.25">
      <c r="A5765" t="s">
        <v>686</v>
      </c>
      <c r="B5765" t="s">
        <v>11</v>
      </c>
      <c r="C5765" s="1" t="str">
        <f>HYPERLINK("http://продеталь.рф/search.html?article=TY04116BA","TY04116BA")</f>
        <v>TY04116BA</v>
      </c>
      <c r="D5765" t="s">
        <v>2</v>
      </c>
    </row>
    <row r="5766" spans="1:4" outlineLevel="1" x14ac:dyDescent="0.25">
      <c r="A5766" t="s">
        <v>686</v>
      </c>
      <c r="B5766" t="s">
        <v>11</v>
      </c>
      <c r="C5766" s="1" t="str">
        <f>HYPERLINK("http://продеталь.рф/search.html?article=TY04117BA","TY04117BA")</f>
        <v>TY04117BA</v>
      </c>
      <c r="D5766" t="s">
        <v>2</v>
      </c>
    </row>
    <row r="5767" spans="1:4" outlineLevel="1" x14ac:dyDescent="0.25">
      <c r="A5767" t="s">
        <v>686</v>
      </c>
      <c r="B5767" t="s">
        <v>15</v>
      </c>
      <c r="C5767" s="1" t="str">
        <f>HYPERLINK("http://продеталь.рф/search.html?article=3360007","3360007")</f>
        <v>3360007</v>
      </c>
      <c r="D5767" t="s">
        <v>4</v>
      </c>
    </row>
    <row r="5768" spans="1:4" outlineLevel="1" x14ac:dyDescent="0.25">
      <c r="A5768" t="s">
        <v>686</v>
      </c>
      <c r="B5768" t="s">
        <v>15</v>
      </c>
      <c r="C5768" s="1" t="str">
        <f>HYPERLINK("http://продеталь.рф/search.html?article=3360008","3360008")</f>
        <v>3360008</v>
      </c>
      <c r="D5768" t="s">
        <v>4</v>
      </c>
    </row>
    <row r="5769" spans="1:4" outlineLevel="1" x14ac:dyDescent="0.25">
      <c r="A5769" t="s">
        <v>686</v>
      </c>
      <c r="B5769" t="s">
        <v>79</v>
      </c>
      <c r="C5769" s="1" t="str">
        <f>HYPERLINK("http://продеталь.рф/search.html?article=TY460042","TY460042")</f>
        <v>TY460042</v>
      </c>
      <c r="D5769" t="s">
        <v>9</v>
      </c>
    </row>
    <row r="5770" spans="1:4" outlineLevel="1" x14ac:dyDescent="0.25">
      <c r="A5770" t="s">
        <v>686</v>
      </c>
      <c r="B5770" t="s">
        <v>1</v>
      </c>
      <c r="C5770" s="1" t="str">
        <f>HYPERLINK("http://продеталь.рф/search.html?article=TY20079A","TY20079A")</f>
        <v>TY20079A</v>
      </c>
      <c r="D5770" t="s">
        <v>2</v>
      </c>
    </row>
    <row r="5771" spans="1:4" outlineLevel="1" x14ac:dyDescent="0.25">
      <c r="A5771" t="s">
        <v>686</v>
      </c>
      <c r="B5771" t="s">
        <v>24</v>
      </c>
      <c r="C5771" s="1" t="str">
        <f>HYPERLINK("http://продеталь.рф/search.html?article=TY10108AL","TY10108AL")</f>
        <v>TY10108AL</v>
      </c>
      <c r="D5771" t="s">
        <v>2</v>
      </c>
    </row>
    <row r="5772" spans="1:4" outlineLevel="1" x14ac:dyDescent="0.25">
      <c r="A5772" t="s">
        <v>686</v>
      </c>
      <c r="B5772" t="s">
        <v>24</v>
      </c>
      <c r="C5772" s="1" t="str">
        <f>HYPERLINK("http://продеталь.рф/search.html?article=TY10108AR","TY10108AR")</f>
        <v>TY10108AR</v>
      </c>
      <c r="D5772" t="s">
        <v>2</v>
      </c>
    </row>
    <row r="5773" spans="1:4" outlineLevel="1" x14ac:dyDescent="0.25">
      <c r="A5773" t="s">
        <v>686</v>
      </c>
      <c r="B5773" t="s">
        <v>50</v>
      </c>
      <c r="C5773" s="1" t="str">
        <f>HYPERLINK("http://продеталь.рф/search.html?article=TY4602060AL00","TY4602060AL00")</f>
        <v>TY4602060AL00</v>
      </c>
      <c r="D5773" t="s">
        <v>9</v>
      </c>
    </row>
    <row r="5774" spans="1:4" outlineLevel="1" x14ac:dyDescent="0.25">
      <c r="A5774" t="s">
        <v>686</v>
      </c>
      <c r="B5774" t="s">
        <v>50</v>
      </c>
      <c r="C5774" s="1" t="str">
        <f>HYPERLINK("http://продеталь.рф/search.html?article=TY4602060AR00","TY4602060AR00")</f>
        <v>TY4602060AR00</v>
      </c>
      <c r="D5774" t="s">
        <v>9</v>
      </c>
    </row>
    <row r="5775" spans="1:4" outlineLevel="1" x14ac:dyDescent="0.25">
      <c r="A5775" t="s">
        <v>686</v>
      </c>
      <c r="B5775" t="s">
        <v>3</v>
      </c>
      <c r="C5775" s="1" t="str">
        <f>HYPERLINK("http://продеталь.рф/search.html?article=205612082","205612082")</f>
        <v>205612082</v>
      </c>
      <c r="D5775" t="s">
        <v>4</v>
      </c>
    </row>
    <row r="5776" spans="1:4" outlineLevel="1" x14ac:dyDescent="0.25">
      <c r="A5776" t="s">
        <v>686</v>
      </c>
      <c r="B5776" t="s">
        <v>28</v>
      </c>
      <c r="C5776" s="1" t="str">
        <f>HYPERLINK("http://продеталь.рф/search.html?article=284782","284782")</f>
        <v>284782</v>
      </c>
      <c r="D5776" t="s">
        <v>135</v>
      </c>
    </row>
    <row r="5777" spans="1:4" outlineLevel="1" x14ac:dyDescent="0.25">
      <c r="A5777" t="s">
        <v>686</v>
      </c>
      <c r="B5777" t="s">
        <v>55</v>
      </c>
      <c r="C5777" s="1" t="str">
        <f>HYPERLINK("http://продеталь.рф/search.html?article=TY46093NJ0","TY46093NJ0")</f>
        <v>TY46093NJ0</v>
      </c>
      <c r="D5777" t="s">
        <v>9</v>
      </c>
    </row>
    <row r="5778" spans="1:4" outlineLevel="1" x14ac:dyDescent="0.25">
      <c r="A5778" t="s">
        <v>686</v>
      </c>
      <c r="B5778" t="s">
        <v>12</v>
      </c>
      <c r="C5778" s="1" t="str">
        <f>HYPERLINK("http://продеталь.рф/search.html?article=TY4600930B000","TY4600930B000")</f>
        <v>TY4600930B000</v>
      </c>
      <c r="D5778" t="s">
        <v>9</v>
      </c>
    </row>
    <row r="5779" spans="1:4" outlineLevel="1" x14ac:dyDescent="0.25">
      <c r="A5779" t="s">
        <v>686</v>
      </c>
      <c r="B5779" t="s">
        <v>12</v>
      </c>
      <c r="C5779" s="1" t="str">
        <f>HYPERLINK("http://продеталь.рф/search.html?article=TY46093J0","TY46093J0")</f>
        <v>TY46093J0</v>
      </c>
      <c r="D5779" t="s">
        <v>9</v>
      </c>
    </row>
    <row r="5780" spans="1:4" outlineLevel="1" x14ac:dyDescent="0.25">
      <c r="A5780" t="s">
        <v>686</v>
      </c>
      <c r="B5780" t="s">
        <v>12</v>
      </c>
      <c r="C5780" s="1" t="str">
        <f>HYPERLINK("http://продеталь.рф/search.html?article=TY07381GAV","TY07381GAV")</f>
        <v>TY07381GAV</v>
      </c>
      <c r="D5780" t="s">
        <v>2</v>
      </c>
    </row>
    <row r="5781" spans="1:4" outlineLevel="1" x14ac:dyDescent="0.25">
      <c r="A5781" t="s">
        <v>686</v>
      </c>
      <c r="B5781" t="s">
        <v>16</v>
      </c>
      <c r="C5781" s="1" t="str">
        <f>HYPERLINK("http://продеталь.рф/search.html?article=185458052","185458052")</f>
        <v>185458052</v>
      </c>
      <c r="D5781" t="s">
        <v>4</v>
      </c>
    </row>
    <row r="5782" spans="1:4" outlineLevel="1" x14ac:dyDescent="0.25">
      <c r="A5782" t="s">
        <v>686</v>
      </c>
      <c r="B5782" t="s">
        <v>16</v>
      </c>
      <c r="C5782" s="1" t="str">
        <f>HYPERLINK("http://продеталь.рф/search.html?article=185457052","185457052")</f>
        <v>185457052</v>
      </c>
      <c r="D5782" t="s">
        <v>4</v>
      </c>
    </row>
    <row r="5783" spans="1:4" outlineLevel="1" x14ac:dyDescent="0.25">
      <c r="A5783" t="s">
        <v>686</v>
      </c>
      <c r="B5783" t="s">
        <v>16</v>
      </c>
      <c r="C5783" s="1" t="str">
        <f>HYPERLINK("http://продеталь.рф/search.html?article=185819012B","185819012B")</f>
        <v>185819012B</v>
      </c>
      <c r="D5783" t="s">
        <v>4</v>
      </c>
    </row>
    <row r="5784" spans="1:4" x14ac:dyDescent="0.25">
      <c r="A5784" t="s">
        <v>687</v>
      </c>
      <c r="B5784" s="2" t="s">
        <v>687</v>
      </c>
      <c r="C5784" s="2"/>
      <c r="D5784" s="2"/>
    </row>
    <row r="5785" spans="1:4" outlineLevel="1" x14ac:dyDescent="0.25">
      <c r="A5785" t="s">
        <v>687</v>
      </c>
      <c r="B5785" t="s">
        <v>11</v>
      </c>
      <c r="C5785" s="1" t="str">
        <f>HYPERLINK("http://продеталь.рф/search.html?article=TA22","TA22")</f>
        <v>TA22</v>
      </c>
      <c r="D5785" t="s">
        <v>18</v>
      </c>
    </row>
    <row r="5786" spans="1:4" outlineLevel="1" x14ac:dyDescent="0.25">
      <c r="A5786" t="s">
        <v>687</v>
      </c>
      <c r="B5786" t="s">
        <v>15</v>
      </c>
      <c r="C5786" s="1" t="str">
        <f>HYPERLINK("http://продеталь.рф/search.html?article=VTYM1175ARE","VTYM1175ARE")</f>
        <v>VTYM1175ARE</v>
      </c>
      <c r="D5786" t="s">
        <v>6</v>
      </c>
    </row>
    <row r="5787" spans="1:4" outlineLevel="1" x14ac:dyDescent="0.25">
      <c r="A5787" t="s">
        <v>687</v>
      </c>
      <c r="B5787" t="s">
        <v>35</v>
      </c>
      <c r="C5787" s="1" t="str">
        <f>HYPERLINK("http://продеталь.рф/search.html?article=312617","312617")</f>
        <v>312617</v>
      </c>
      <c r="D5787" t="s">
        <v>21</v>
      </c>
    </row>
    <row r="5788" spans="1:4" outlineLevel="1" x14ac:dyDescent="0.25">
      <c r="A5788" t="s">
        <v>687</v>
      </c>
      <c r="B5788" t="s">
        <v>35</v>
      </c>
      <c r="C5788" s="1" t="str">
        <f>HYPERLINK("http://продеталь.рф/search.html?article=312605","312605")</f>
        <v>312605</v>
      </c>
      <c r="D5788" t="s">
        <v>21</v>
      </c>
    </row>
    <row r="5789" spans="1:4" outlineLevel="1" x14ac:dyDescent="0.25">
      <c r="A5789" t="s">
        <v>687</v>
      </c>
      <c r="B5789" t="s">
        <v>1</v>
      </c>
      <c r="C5789" s="1" t="str">
        <f>HYPERLINK("http://продеталь.рф/search.html?article=TY20122A","TY20122A")</f>
        <v>TY20122A</v>
      </c>
      <c r="D5789" t="s">
        <v>2</v>
      </c>
    </row>
    <row r="5790" spans="1:4" outlineLevel="1" x14ac:dyDescent="0.25">
      <c r="A5790" t="s">
        <v>687</v>
      </c>
      <c r="B5790" t="s">
        <v>26</v>
      </c>
      <c r="C5790" s="1" t="str">
        <f>HYPERLINK("http://продеталь.рф/search.html?article=TY04237MAL","TY04237MAL")</f>
        <v>TY04237MAL</v>
      </c>
      <c r="D5790" t="s">
        <v>2</v>
      </c>
    </row>
    <row r="5791" spans="1:4" outlineLevel="1" x14ac:dyDescent="0.25">
      <c r="A5791" t="s">
        <v>687</v>
      </c>
      <c r="B5791" t="s">
        <v>26</v>
      </c>
      <c r="C5791" s="1" t="str">
        <f>HYPERLINK("http://продеталь.рф/search.html?article=TA38","TA38")</f>
        <v>TA38</v>
      </c>
      <c r="D5791" t="s">
        <v>18</v>
      </c>
    </row>
    <row r="5792" spans="1:4" outlineLevel="1" x14ac:dyDescent="0.25">
      <c r="A5792" t="s">
        <v>687</v>
      </c>
      <c r="B5792" t="s">
        <v>3</v>
      </c>
      <c r="C5792" s="1" t="str">
        <f>HYPERLINK("http://продеталь.рф/search.html?article=200370052","200370052")</f>
        <v>200370052</v>
      </c>
      <c r="D5792" t="s">
        <v>4</v>
      </c>
    </row>
    <row r="5793" spans="1:4" outlineLevel="1" x14ac:dyDescent="0.25">
      <c r="A5793" t="s">
        <v>687</v>
      </c>
      <c r="B5793" t="s">
        <v>3</v>
      </c>
      <c r="C5793" s="1" t="str">
        <f>HYPERLINK("http://продеталь.рф/search.html?article=200369052","200369052")</f>
        <v>200369052</v>
      </c>
      <c r="D5793" t="s">
        <v>4</v>
      </c>
    </row>
    <row r="5794" spans="1:4" outlineLevel="1" x14ac:dyDescent="0.25">
      <c r="A5794" t="s">
        <v>687</v>
      </c>
      <c r="B5794" t="s">
        <v>3</v>
      </c>
      <c r="C5794" s="1" t="str">
        <f>HYPERLINK("http://продеталь.рф/search.html?article=20B738052B","20B738052B")</f>
        <v>20B738052B</v>
      </c>
      <c r="D5794" t="s">
        <v>4</v>
      </c>
    </row>
    <row r="5795" spans="1:4" outlineLevel="1" x14ac:dyDescent="0.25">
      <c r="A5795" t="s">
        <v>687</v>
      </c>
      <c r="B5795" t="s">
        <v>3</v>
      </c>
      <c r="C5795" s="1" t="str">
        <f>HYPERLINK("http://продеталь.рф/search.html?article=20B737052B","20B737052B")</f>
        <v>20B737052B</v>
      </c>
      <c r="D5795" t="s">
        <v>4</v>
      </c>
    </row>
    <row r="5796" spans="1:4" outlineLevel="1" x14ac:dyDescent="0.25">
      <c r="A5796" t="s">
        <v>687</v>
      </c>
      <c r="B5796" t="s">
        <v>5</v>
      </c>
      <c r="C5796" s="1" t="str">
        <f>HYPERLINK("http://продеталь.рф/search.html?article=212329","212329")</f>
        <v>212329</v>
      </c>
      <c r="D5796" t="s">
        <v>21</v>
      </c>
    </row>
    <row r="5797" spans="1:4" outlineLevel="1" x14ac:dyDescent="0.25">
      <c r="A5797" t="s">
        <v>687</v>
      </c>
      <c r="B5797" t="s">
        <v>5</v>
      </c>
      <c r="C5797" s="1" t="str">
        <f>HYPERLINK("http://продеталь.рф/search.html?article=212330","212330")</f>
        <v>212330</v>
      </c>
      <c r="D5797" t="s">
        <v>21</v>
      </c>
    </row>
    <row r="5798" spans="1:4" outlineLevel="1" x14ac:dyDescent="0.25">
      <c r="A5798" t="s">
        <v>687</v>
      </c>
      <c r="B5798" t="s">
        <v>5</v>
      </c>
      <c r="C5798" s="1" t="str">
        <f>HYPERLINK("http://продеталь.рф/search.html?article=PTY11182BR","PTY11182BR")</f>
        <v>PTY11182BR</v>
      </c>
      <c r="D5798" t="s">
        <v>6</v>
      </c>
    </row>
    <row r="5799" spans="1:4" outlineLevel="1" x14ac:dyDescent="0.25">
      <c r="A5799" t="s">
        <v>687</v>
      </c>
      <c r="B5799" t="s">
        <v>5</v>
      </c>
      <c r="C5799" s="1" t="str">
        <f>HYPERLINK("http://продеталь.рф/search.html?article=TY11182AR","TY11182AR")</f>
        <v>TY11182AR</v>
      </c>
      <c r="D5799" t="s">
        <v>2</v>
      </c>
    </row>
    <row r="5800" spans="1:4" outlineLevel="1" x14ac:dyDescent="0.25">
      <c r="A5800" t="s">
        <v>687</v>
      </c>
      <c r="B5800" t="s">
        <v>5</v>
      </c>
      <c r="C5800" s="1" t="str">
        <f>HYPERLINK("http://продеталь.рф/search.html?article=TY11182AL","TY11182AL")</f>
        <v>TY11182AL</v>
      </c>
      <c r="D5800" t="s">
        <v>2</v>
      </c>
    </row>
    <row r="5801" spans="1:4" outlineLevel="1" x14ac:dyDescent="0.25">
      <c r="A5801" t="s">
        <v>687</v>
      </c>
      <c r="B5801" t="s">
        <v>19</v>
      </c>
      <c r="C5801" s="1" t="str">
        <f>HYPERLINK("http://продеталь.рф/search.html?article=19A479012B","19A479012B")</f>
        <v>19A479012B</v>
      </c>
      <c r="D5801" t="s">
        <v>4</v>
      </c>
    </row>
    <row r="5802" spans="1:4" outlineLevel="1" x14ac:dyDescent="0.25">
      <c r="A5802" t="s">
        <v>687</v>
      </c>
      <c r="B5802" t="s">
        <v>28</v>
      </c>
      <c r="C5802" s="1" t="str">
        <f>HYPERLINK("http://продеталь.рф/search.html?article=RA64647A","RA64647A")</f>
        <v>RA64647A</v>
      </c>
      <c r="D5802" t="s">
        <v>6</v>
      </c>
    </row>
    <row r="5803" spans="1:4" outlineLevel="1" x14ac:dyDescent="0.25">
      <c r="A5803" t="s">
        <v>687</v>
      </c>
      <c r="B5803" t="s">
        <v>40</v>
      </c>
      <c r="C5803" s="1" t="str">
        <f>HYPERLINK("http://продеталь.рф/search.html?article=TY470000G0000","TY470000G0000")</f>
        <v>TY470000G0000</v>
      </c>
      <c r="D5803" t="s">
        <v>9</v>
      </c>
    </row>
    <row r="5804" spans="1:4" outlineLevel="1" x14ac:dyDescent="0.25">
      <c r="A5804" t="s">
        <v>687</v>
      </c>
      <c r="B5804" t="s">
        <v>12</v>
      </c>
      <c r="C5804" s="1" t="str">
        <f>HYPERLINK("http://продеталь.рф/search.html?article=TY07323GA","TY07323GA")</f>
        <v>TY07323GA</v>
      </c>
      <c r="D5804" t="s">
        <v>2</v>
      </c>
    </row>
    <row r="5805" spans="1:4" x14ac:dyDescent="0.25">
      <c r="A5805" t="s">
        <v>688</v>
      </c>
      <c r="B5805" s="2" t="s">
        <v>688</v>
      </c>
      <c r="C5805" s="2"/>
      <c r="D5805" s="2"/>
    </row>
    <row r="5806" spans="1:4" outlineLevel="1" x14ac:dyDescent="0.25">
      <c r="A5806" t="s">
        <v>688</v>
      </c>
      <c r="B5806" t="s">
        <v>11</v>
      </c>
      <c r="C5806" s="1" t="str">
        <f>HYPERLINK("http://продеталь.рф/search.html?article=TA42","TA42")</f>
        <v>TA42</v>
      </c>
      <c r="D5806" t="s">
        <v>18</v>
      </c>
    </row>
    <row r="5807" spans="1:4" outlineLevel="1" x14ac:dyDescent="0.25">
      <c r="A5807" t="s">
        <v>688</v>
      </c>
      <c r="B5807" t="s">
        <v>27</v>
      </c>
      <c r="C5807" s="1" t="str">
        <f>HYPERLINK("http://продеталь.рф/search.html?article=PTY30139AC","PTY30139AC")</f>
        <v>PTY30139AC</v>
      </c>
      <c r="D5807" t="s">
        <v>6</v>
      </c>
    </row>
    <row r="5808" spans="1:4" x14ac:dyDescent="0.25">
      <c r="A5808" t="s">
        <v>689</v>
      </c>
      <c r="B5808" s="2" t="s">
        <v>689</v>
      </c>
      <c r="C5808" s="2"/>
      <c r="D5808" s="2"/>
    </row>
    <row r="5809" spans="1:4" outlineLevel="1" x14ac:dyDescent="0.25">
      <c r="A5809" t="s">
        <v>689</v>
      </c>
      <c r="B5809" t="s">
        <v>11</v>
      </c>
      <c r="C5809" s="1" t="str">
        <f>HYPERLINK("http://продеталь.рф/search.html?article=TY25100000000","TY25100000000")</f>
        <v>TY25100000000</v>
      </c>
      <c r="D5809" t="s">
        <v>9</v>
      </c>
    </row>
    <row r="5810" spans="1:4" outlineLevel="1" x14ac:dyDescent="0.25">
      <c r="A5810" t="s">
        <v>689</v>
      </c>
      <c r="B5810" t="s">
        <v>101</v>
      </c>
      <c r="C5810" s="1" t="str">
        <f>HYPERLINK("http://продеталь.рф/search.html?article=TY251000C0000","TY251000C0000")</f>
        <v>TY251000C0000</v>
      </c>
      <c r="D5810" t="s">
        <v>9</v>
      </c>
    </row>
    <row r="5811" spans="1:4" outlineLevel="1" x14ac:dyDescent="0.25">
      <c r="A5811" t="s">
        <v>689</v>
      </c>
      <c r="B5811" t="s">
        <v>1</v>
      </c>
      <c r="C5811" s="1" t="str">
        <f>HYPERLINK("http://продеталь.рф/search.html?article=301TY0140","301TY0140")</f>
        <v>301TY0140</v>
      </c>
      <c r="D5811" t="s">
        <v>4</v>
      </c>
    </row>
    <row r="5812" spans="1:4" outlineLevel="1" x14ac:dyDescent="0.25">
      <c r="A5812" t="s">
        <v>689</v>
      </c>
      <c r="B5812" t="s">
        <v>84</v>
      </c>
      <c r="C5812" s="1" t="str">
        <f>HYPERLINK("http://продеталь.рф/search.html?article=2309312","2309312")</f>
        <v>2309312</v>
      </c>
      <c r="D5812" t="s">
        <v>58</v>
      </c>
    </row>
    <row r="5813" spans="1:4" outlineLevel="1" x14ac:dyDescent="0.25">
      <c r="A5813" t="s">
        <v>689</v>
      </c>
      <c r="B5813" t="s">
        <v>84</v>
      </c>
      <c r="C5813" s="1" t="str">
        <f>HYPERLINK("http://продеталь.рф/search.html?article=2309311","2309311")</f>
        <v>2309311</v>
      </c>
      <c r="D5813" t="s">
        <v>58</v>
      </c>
    </row>
    <row r="5814" spans="1:4" outlineLevel="1" x14ac:dyDescent="0.25">
      <c r="A5814" t="s">
        <v>689</v>
      </c>
      <c r="B5814" t="s">
        <v>24</v>
      </c>
      <c r="C5814" s="1" t="str">
        <f>HYPERLINK("http://продеталь.рф/search.html?article=99B66L","99B66L")</f>
        <v>99B66L</v>
      </c>
      <c r="D5814" t="s">
        <v>36</v>
      </c>
    </row>
    <row r="5815" spans="1:4" outlineLevel="1" x14ac:dyDescent="0.25">
      <c r="A5815" t="s">
        <v>689</v>
      </c>
      <c r="B5815" t="s">
        <v>24</v>
      </c>
      <c r="C5815" s="1" t="str">
        <f>HYPERLINK("http://продеталь.рф/search.html?article=99B66R","99B66R")</f>
        <v>99B66R</v>
      </c>
      <c r="D5815" t="s">
        <v>36</v>
      </c>
    </row>
    <row r="5816" spans="1:4" outlineLevel="1" x14ac:dyDescent="0.25">
      <c r="A5816" t="s">
        <v>689</v>
      </c>
      <c r="B5816" t="s">
        <v>12</v>
      </c>
      <c r="C5816" s="1" t="str">
        <f>HYPERLINK("http://продеталь.рф/search.html?article=TY25109300000","TY25109300000")</f>
        <v>TY25109300000</v>
      </c>
      <c r="D5816" t="s">
        <v>9</v>
      </c>
    </row>
    <row r="5817" spans="1:4" x14ac:dyDescent="0.25">
      <c r="A5817" t="s">
        <v>690</v>
      </c>
      <c r="B5817" s="2" t="s">
        <v>690</v>
      </c>
      <c r="C5817" s="2"/>
      <c r="D5817" s="2"/>
    </row>
    <row r="5818" spans="1:4" outlineLevel="1" x14ac:dyDescent="0.25">
      <c r="A5818" t="s">
        <v>690</v>
      </c>
      <c r="B5818" t="s">
        <v>11</v>
      </c>
      <c r="C5818" s="1" t="str">
        <f>HYPERLINK("http://продеталь.рф/search.html?article=TY04070BA","TY04070BA")</f>
        <v>TY04070BA</v>
      </c>
      <c r="D5818" t="s">
        <v>2</v>
      </c>
    </row>
    <row r="5819" spans="1:4" outlineLevel="1" x14ac:dyDescent="0.25">
      <c r="A5819" t="s">
        <v>690</v>
      </c>
      <c r="B5819" t="s">
        <v>1</v>
      </c>
      <c r="C5819" s="1" t="str">
        <f>HYPERLINK("http://продеталь.рф/search.html?article=TY360150","TY360150")</f>
        <v>TY360150</v>
      </c>
      <c r="D5819" t="s">
        <v>9</v>
      </c>
    </row>
    <row r="5820" spans="1:4" outlineLevel="1" x14ac:dyDescent="0.25">
      <c r="A5820" t="s">
        <v>690</v>
      </c>
      <c r="B5820" t="s">
        <v>24</v>
      </c>
      <c r="C5820" s="1" t="str">
        <f>HYPERLINK("http://продеталь.рф/search.html?article=99146AR","99146AR")</f>
        <v>99146AR</v>
      </c>
      <c r="D5820" t="s">
        <v>36</v>
      </c>
    </row>
    <row r="5821" spans="1:4" outlineLevel="1" x14ac:dyDescent="0.25">
      <c r="A5821" t="s">
        <v>690</v>
      </c>
      <c r="B5821" t="s">
        <v>27</v>
      </c>
      <c r="C5821" s="1" t="str">
        <f>HYPERLINK("http://продеталь.рф/search.html?article=TY36009A0","TY36009A0")</f>
        <v>TY36009A0</v>
      </c>
      <c r="D5821" t="s">
        <v>9</v>
      </c>
    </row>
    <row r="5822" spans="1:4" outlineLevel="1" x14ac:dyDescent="0.25">
      <c r="A5822" t="s">
        <v>690</v>
      </c>
      <c r="B5822" t="s">
        <v>3</v>
      </c>
      <c r="C5822" s="1" t="str">
        <f>HYPERLINK("http://продеталь.рф/search.html?article=203051052","203051052")</f>
        <v>203051052</v>
      </c>
      <c r="D5822" t="s">
        <v>4</v>
      </c>
    </row>
    <row r="5823" spans="1:4" outlineLevel="1" x14ac:dyDescent="0.25">
      <c r="A5823" t="s">
        <v>690</v>
      </c>
      <c r="B5823" t="s">
        <v>3</v>
      </c>
      <c r="C5823" s="1" t="str">
        <f>HYPERLINK("http://продеталь.рф/search.html?article=203050052","203050052")</f>
        <v>203050052</v>
      </c>
      <c r="D5823" t="s">
        <v>4</v>
      </c>
    </row>
    <row r="5824" spans="1:4" outlineLevel="1" x14ac:dyDescent="0.25">
      <c r="A5824" t="s">
        <v>690</v>
      </c>
      <c r="B5824" t="s">
        <v>5</v>
      </c>
      <c r="C5824" s="1" t="str">
        <f>HYPERLINK("http://продеталь.рф/search.html?article=TY11062AR","TY11062AR")</f>
        <v>TY11062AR</v>
      </c>
      <c r="D5824" t="s">
        <v>99</v>
      </c>
    </row>
    <row r="5825" spans="1:4" outlineLevel="1" x14ac:dyDescent="0.25">
      <c r="A5825" t="s">
        <v>690</v>
      </c>
      <c r="B5825" t="s">
        <v>12</v>
      </c>
      <c r="C5825" s="1" t="str">
        <f>HYPERLINK("http://продеталь.рф/search.html?article=TY360930","TY360930")</f>
        <v>TY360930</v>
      </c>
      <c r="D5825" t="s">
        <v>9</v>
      </c>
    </row>
    <row r="5826" spans="1:4" outlineLevel="1" x14ac:dyDescent="0.25">
      <c r="A5826" t="s">
        <v>690</v>
      </c>
      <c r="B5826" t="s">
        <v>16</v>
      </c>
      <c r="C5826" s="1" t="str">
        <f>HYPERLINK("http://продеталь.рф/search.html?article=171139052","171139052")</f>
        <v>171139052</v>
      </c>
      <c r="D5826" t="s">
        <v>4</v>
      </c>
    </row>
    <row r="5827" spans="1:4" outlineLevel="1" x14ac:dyDescent="0.25">
      <c r="A5827" t="s">
        <v>690</v>
      </c>
      <c r="B5827" t="s">
        <v>16</v>
      </c>
      <c r="C5827" s="1" t="str">
        <f>HYPERLINK("http://продеталь.рф/search.html?article=171138052","171138052")</f>
        <v>171138052</v>
      </c>
      <c r="D5827" t="s">
        <v>4</v>
      </c>
    </row>
    <row r="5828" spans="1:4" x14ac:dyDescent="0.25">
      <c r="A5828" t="s">
        <v>691</v>
      </c>
      <c r="B5828" s="2" t="s">
        <v>691</v>
      </c>
      <c r="C5828" s="2"/>
      <c r="D5828" s="2"/>
    </row>
    <row r="5829" spans="1:4" outlineLevel="1" x14ac:dyDescent="0.25">
      <c r="A5829" t="s">
        <v>691</v>
      </c>
      <c r="B5829" t="s">
        <v>11</v>
      </c>
      <c r="C5829" s="1" t="str">
        <f>HYPERLINK("http://продеталь.рф/search.html?article=TY04093BB","TY04093BB")</f>
        <v>TY04093BB</v>
      </c>
      <c r="D5829" t="s">
        <v>2</v>
      </c>
    </row>
    <row r="5830" spans="1:4" outlineLevel="1" x14ac:dyDescent="0.25">
      <c r="A5830" t="s">
        <v>691</v>
      </c>
      <c r="B5830" t="s">
        <v>11</v>
      </c>
      <c r="C5830" s="1" t="str">
        <f>HYPERLINK("http://продеталь.рф/search.html?article=TY370870","TY370870")</f>
        <v>TY370870</v>
      </c>
      <c r="D5830" t="s">
        <v>9</v>
      </c>
    </row>
    <row r="5831" spans="1:4" outlineLevel="1" x14ac:dyDescent="0.25">
      <c r="A5831" t="s">
        <v>691</v>
      </c>
      <c r="B5831" t="s">
        <v>15</v>
      </c>
      <c r="C5831" s="1" t="str">
        <f>HYPERLINK("http://продеталь.рф/search.html?article=5210531","5210531")</f>
        <v>5210531</v>
      </c>
      <c r="D5831" t="s">
        <v>4</v>
      </c>
    </row>
    <row r="5832" spans="1:4" outlineLevel="1" x14ac:dyDescent="0.25">
      <c r="A5832" t="s">
        <v>691</v>
      </c>
      <c r="B5832" t="s">
        <v>159</v>
      </c>
      <c r="C5832" s="1" t="str">
        <f>HYPERLINK("http://продеталь.рф/search.html?article=TY370041","TY370041")</f>
        <v>TY370041</v>
      </c>
      <c r="D5832" t="s">
        <v>9</v>
      </c>
    </row>
    <row r="5833" spans="1:4" outlineLevel="1" x14ac:dyDescent="0.25">
      <c r="A5833" t="s">
        <v>691</v>
      </c>
      <c r="B5833" t="s">
        <v>3</v>
      </c>
      <c r="C5833" s="1" t="str">
        <f>HYPERLINK("http://продеталь.рф/search.html?article=205085082","205085082")</f>
        <v>205085082</v>
      </c>
      <c r="D5833" t="s">
        <v>4</v>
      </c>
    </row>
    <row r="5834" spans="1:4" outlineLevel="1" x14ac:dyDescent="0.25">
      <c r="A5834" t="s">
        <v>691</v>
      </c>
      <c r="B5834" t="s">
        <v>3</v>
      </c>
      <c r="C5834" s="1" t="str">
        <f>HYPERLINK("http://продеталь.рф/search.html?article=20359800","20359800")</f>
        <v>20359800</v>
      </c>
      <c r="D5834" t="s">
        <v>4</v>
      </c>
    </row>
    <row r="5835" spans="1:4" outlineLevel="1" x14ac:dyDescent="0.25">
      <c r="A5835" t="s">
        <v>691</v>
      </c>
      <c r="B5835" t="s">
        <v>3</v>
      </c>
      <c r="C5835" s="1" t="str">
        <f>HYPERLINK("http://продеталь.рф/search.html?article=20359700","20359700")</f>
        <v>20359700</v>
      </c>
      <c r="D5835" t="s">
        <v>4</v>
      </c>
    </row>
    <row r="5836" spans="1:4" outlineLevel="1" x14ac:dyDescent="0.25">
      <c r="A5836" t="s">
        <v>691</v>
      </c>
      <c r="B5836" t="s">
        <v>5</v>
      </c>
      <c r="C5836" s="1" t="str">
        <f>HYPERLINK("http://продеталь.рф/search.html?article=TY11094AL","TY11094AL")</f>
        <v>TY11094AL</v>
      </c>
      <c r="D5836" t="s">
        <v>2</v>
      </c>
    </row>
    <row r="5837" spans="1:4" outlineLevel="1" x14ac:dyDescent="0.25">
      <c r="A5837" t="s">
        <v>691</v>
      </c>
      <c r="B5837" t="s">
        <v>5</v>
      </c>
      <c r="C5837" s="1" t="str">
        <f>HYPERLINK("http://продеталь.рф/search.html?article=TY11094AR","TY11094AR")</f>
        <v>TY11094AR</v>
      </c>
      <c r="D5837" t="s">
        <v>2</v>
      </c>
    </row>
    <row r="5838" spans="1:4" outlineLevel="1" x14ac:dyDescent="0.25">
      <c r="A5838" t="s">
        <v>691</v>
      </c>
      <c r="B5838" t="s">
        <v>16</v>
      </c>
      <c r="C5838" s="1" t="str">
        <f>HYPERLINK("http://продеталь.рф/search.html?article=183458001A","183458001A")</f>
        <v>183458001A</v>
      </c>
      <c r="D5838" t="s">
        <v>4</v>
      </c>
    </row>
    <row r="5839" spans="1:4" outlineLevel="1" x14ac:dyDescent="0.25">
      <c r="A5839" t="s">
        <v>691</v>
      </c>
      <c r="B5839" t="s">
        <v>13</v>
      </c>
      <c r="C5839" s="1" t="str">
        <f>HYPERLINK("http://продеталь.рф/search.html?article=TY37000RB0","TY37000RB0")</f>
        <v>TY37000RB0</v>
      </c>
      <c r="D5839" t="s">
        <v>9</v>
      </c>
    </row>
    <row r="5840" spans="1:4" x14ac:dyDescent="0.25">
      <c r="A5840" t="s">
        <v>692</v>
      </c>
      <c r="B5840" s="2" t="s">
        <v>692</v>
      </c>
      <c r="C5840" s="2"/>
      <c r="D5840" s="2"/>
    </row>
    <row r="5841" spans="1:4" outlineLevel="1" x14ac:dyDescent="0.25">
      <c r="A5841" t="s">
        <v>692</v>
      </c>
      <c r="B5841" t="s">
        <v>11</v>
      </c>
      <c r="C5841" s="1" t="str">
        <f>HYPERLINK("http://продеталь.рф/search.html?article=TY38000002000","TY38000002000")</f>
        <v>TY38000002000</v>
      </c>
      <c r="D5841" t="s">
        <v>9</v>
      </c>
    </row>
    <row r="5842" spans="1:4" outlineLevel="1" x14ac:dyDescent="0.25">
      <c r="A5842" t="s">
        <v>692</v>
      </c>
      <c r="B5842" t="s">
        <v>11</v>
      </c>
      <c r="C5842" s="1" t="str">
        <f>HYPERLINK("http://продеталь.рф/search.html?article=TY38000000000","TY38000000000")</f>
        <v>TY38000000000</v>
      </c>
      <c r="D5842" t="s">
        <v>9</v>
      </c>
    </row>
    <row r="5843" spans="1:4" outlineLevel="1" x14ac:dyDescent="0.25">
      <c r="A5843" t="s">
        <v>692</v>
      </c>
      <c r="B5843" t="s">
        <v>11</v>
      </c>
      <c r="C5843" s="1" t="str">
        <f>HYPERLINK("http://продеталь.рф/search.html?article=TY37000002000","TY37000002000")</f>
        <v>TY37000002000</v>
      </c>
      <c r="D5843" t="s">
        <v>9</v>
      </c>
    </row>
    <row r="5844" spans="1:4" outlineLevel="1" x14ac:dyDescent="0.25">
      <c r="A5844" t="s">
        <v>692</v>
      </c>
      <c r="B5844" t="s">
        <v>11</v>
      </c>
      <c r="C5844" s="1" t="str">
        <f>HYPERLINK("http://продеталь.рф/search.html?article=TY380870","TY380870")</f>
        <v>TY380870</v>
      </c>
      <c r="D5844" t="s">
        <v>9</v>
      </c>
    </row>
    <row r="5845" spans="1:4" outlineLevel="1" x14ac:dyDescent="0.25">
      <c r="A5845" t="s">
        <v>692</v>
      </c>
      <c r="B5845" t="s">
        <v>11</v>
      </c>
      <c r="C5845" s="1" t="str">
        <f>HYPERLINK("http://продеталь.рф/search.html?article=TY38000GA0","TY38000GA0")</f>
        <v>TY38000GA0</v>
      </c>
      <c r="D5845" t="s">
        <v>9</v>
      </c>
    </row>
    <row r="5846" spans="1:4" outlineLevel="1" x14ac:dyDescent="0.25">
      <c r="A5846" t="s">
        <v>692</v>
      </c>
      <c r="B5846" t="s">
        <v>693</v>
      </c>
      <c r="C5846" s="1" t="str">
        <f>HYPERLINK("http://продеталь.рф/search.html?article=TY38015U0","TY38015U0")</f>
        <v>TY38015U0</v>
      </c>
      <c r="D5846" t="s">
        <v>9</v>
      </c>
    </row>
    <row r="5847" spans="1:4" outlineLevel="1" x14ac:dyDescent="0.25">
      <c r="A5847" t="s">
        <v>692</v>
      </c>
      <c r="B5847" t="s">
        <v>74</v>
      </c>
      <c r="C5847" s="1" t="str">
        <f>HYPERLINK("http://продеталь.рф/search.html?article=TY380040","TY380040")</f>
        <v>TY380040</v>
      </c>
      <c r="D5847" t="s">
        <v>9</v>
      </c>
    </row>
    <row r="5848" spans="1:4" outlineLevel="1" x14ac:dyDescent="0.25">
      <c r="A5848" t="s">
        <v>692</v>
      </c>
      <c r="B5848" t="s">
        <v>23</v>
      </c>
      <c r="C5848" s="1" t="str">
        <f>HYPERLINK("http://продеталь.рф/search.html?article=115604001A","115604001A")</f>
        <v>115604001A</v>
      </c>
      <c r="D5848" t="s">
        <v>4</v>
      </c>
    </row>
    <row r="5849" spans="1:4" outlineLevel="1" x14ac:dyDescent="0.25">
      <c r="A5849" t="s">
        <v>692</v>
      </c>
      <c r="B5849" t="s">
        <v>35</v>
      </c>
      <c r="C5849" s="1" t="str">
        <f>HYPERLINK("http://продеталь.рф/search.html?article=TY380252","TY380252")</f>
        <v>TY380252</v>
      </c>
      <c r="D5849" t="s">
        <v>9</v>
      </c>
    </row>
    <row r="5850" spans="1:4" outlineLevel="1" x14ac:dyDescent="0.25">
      <c r="A5850" t="s">
        <v>692</v>
      </c>
      <c r="B5850" t="s">
        <v>35</v>
      </c>
      <c r="C5850" s="1" t="str">
        <f>HYPERLINK("http://продеталь.рф/search.html?article=TY380251","TY380251")</f>
        <v>TY380251</v>
      </c>
      <c r="D5850" t="s">
        <v>9</v>
      </c>
    </row>
    <row r="5851" spans="1:4" outlineLevel="1" x14ac:dyDescent="0.25">
      <c r="A5851" t="s">
        <v>692</v>
      </c>
      <c r="B5851" t="s">
        <v>249</v>
      </c>
      <c r="C5851" s="1" t="str">
        <f>HYPERLINK("http://продеталь.рф/search.html?article=TY38015LA0","TY38015LA0")</f>
        <v>TY38015LA0</v>
      </c>
      <c r="D5851" t="s">
        <v>9</v>
      </c>
    </row>
    <row r="5852" spans="1:4" outlineLevel="1" x14ac:dyDescent="0.25">
      <c r="A5852" t="s">
        <v>692</v>
      </c>
      <c r="B5852" t="s">
        <v>84</v>
      </c>
      <c r="C5852" s="1" t="str">
        <f>HYPERLINK("http://продеталь.рф/search.html?article=TY380000R0L00","TY380000R0L00")</f>
        <v>TY380000R0L00</v>
      </c>
      <c r="D5852" t="s">
        <v>9</v>
      </c>
    </row>
    <row r="5853" spans="1:4" outlineLevel="1" x14ac:dyDescent="0.25">
      <c r="A5853" t="s">
        <v>692</v>
      </c>
      <c r="B5853" t="s">
        <v>84</v>
      </c>
      <c r="C5853" s="1" t="str">
        <f>HYPERLINK("http://продеталь.рф/search.html?article=TY380000R0R00","TY380000R0R00")</f>
        <v>TY380000R0R00</v>
      </c>
      <c r="D5853" t="s">
        <v>9</v>
      </c>
    </row>
    <row r="5854" spans="1:4" outlineLevel="1" x14ac:dyDescent="0.25">
      <c r="A5854" t="s">
        <v>692</v>
      </c>
      <c r="B5854" t="s">
        <v>24</v>
      </c>
      <c r="C5854" s="1" t="str">
        <f>HYPERLINK("http://продеталь.рф/search.html?article=PTY10151BL","PTY10151BL")</f>
        <v>PTY10151BL</v>
      </c>
      <c r="D5854" t="s">
        <v>6</v>
      </c>
    </row>
    <row r="5855" spans="1:4" outlineLevel="1" x14ac:dyDescent="0.25">
      <c r="A5855" t="s">
        <v>692</v>
      </c>
      <c r="B5855" t="s">
        <v>24</v>
      </c>
      <c r="C5855" s="1" t="str">
        <f>HYPERLINK("http://продеталь.рф/search.html?article=PTY10151BR","PTY10151BR")</f>
        <v>PTY10151BR</v>
      </c>
      <c r="D5855" t="s">
        <v>6</v>
      </c>
    </row>
    <row r="5856" spans="1:4" outlineLevel="1" x14ac:dyDescent="0.25">
      <c r="A5856" t="s">
        <v>692</v>
      </c>
      <c r="B5856" t="s">
        <v>179</v>
      </c>
      <c r="C5856" s="1" t="str">
        <f>HYPERLINK("http://продеталь.рф/search.html?article=PTY19000AR","PTY19000AR")</f>
        <v>PTY19000AR</v>
      </c>
      <c r="D5856" t="s">
        <v>6</v>
      </c>
    </row>
    <row r="5857" spans="1:4" outlineLevel="1" x14ac:dyDescent="0.25">
      <c r="A5857" t="s">
        <v>692</v>
      </c>
      <c r="B5857" t="s">
        <v>27</v>
      </c>
      <c r="C5857" s="1" t="str">
        <f>HYPERLINK("http://продеталь.рф/search.html?article=TY380090","TY380090")</f>
        <v>TY380090</v>
      </c>
      <c r="D5857" t="s">
        <v>9</v>
      </c>
    </row>
    <row r="5858" spans="1:4" outlineLevel="1" x14ac:dyDescent="0.25">
      <c r="A5858" t="s">
        <v>692</v>
      </c>
      <c r="B5858" t="s">
        <v>3</v>
      </c>
      <c r="C5858" s="1" t="str">
        <f>HYPERLINK("http://продеталь.рф/search.html?article=20657690","20657690")</f>
        <v>20657690</v>
      </c>
      <c r="D5858" t="s">
        <v>4</v>
      </c>
    </row>
    <row r="5859" spans="1:4" outlineLevel="1" x14ac:dyDescent="0.25">
      <c r="A5859" t="s">
        <v>692</v>
      </c>
      <c r="B5859" t="s">
        <v>3</v>
      </c>
      <c r="C5859" s="1" t="str">
        <f>HYPERLINK("http://продеталь.рф/search.html?article=20657590","20657590")</f>
        <v>20657590</v>
      </c>
      <c r="D5859" t="s">
        <v>4</v>
      </c>
    </row>
    <row r="5860" spans="1:4" outlineLevel="1" x14ac:dyDescent="0.25">
      <c r="A5860" t="s">
        <v>692</v>
      </c>
      <c r="B5860" t="s">
        <v>3</v>
      </c>
      <c r="C5860" s="1" t="str">
        <f>HYPERLINK("http://продеталь.рф/search.html?article=20657600","20657600")</f>
        <v>20657600</v>
      </c>
      <c r="D5860" t="s">
        <v>4</v>
      </c>
    </row>
    <row r="5861" spans="1:4" outlineLevel="1" x14ac:dyDescent="0.25">
      <c r="A5861" t="s">
        <v>692</v>
      </c>
      <c r="B5861" t="s">
        <v>3</v>
      </c>
      <c r="C5861" s="1" t="str">
        <f>HYPERLINK("http://продеталь.рф/search.html?article=206119056B","206119056B")</f>
        <v>206119056B</v>
      </c>
      <c r="D5861" t="s">
        <v>4</v>
      </c>
    </row>
    <row r="5862" spans="1:4" outlineLevel="1" x14ac:dyDescent="0.25">
      <c r="A5862" t="s">
        <v>692</v>
      </c>
      <c r="B5862" t="s">
        <v>3</v>
      </c>
      <c r="C5862" s="1" t="str">
        <f>HYPERLINK("http://продеталь.рф/search.html?article=206120056B","206120056B")</f>
        <v>206120056B</v>
      </c>
      <c r="D5862" t="s">
        <v>4</v>
      </c>
    </row>
    <row r="5863" spans="1:4" outlineLevel="1" x14ac:dyDescent="0.25">
      <c r="A5863" t="s">
        <v>692</v>
      </c>
      <c r="B5863" t="s">
        <v>139</v>
      </c>
      <c r="C5863" s="1" t="str">
        <f>HYPERLINK("http://продеталь.рф/search.html?article=GD5015AL","GD5015AL")</f>
        <v>GD5015AL</v>
      </c>
      <c r="D5863" t="s">
        <v>2</v>
      </c>
    </row>
    <row r="5864" spans="1:4" outlineLevel="1" x14ac:dyDescent="0.25">
      <c r="A5864" t="s">
        <v>692</v>
      </c>
      <c r="B5864" t="s">
        <v>139</v>
      </c>
      <c r="C5864" s="1" t="str">
        <f>HYPERLINK("http://продеталь.рф/search.html?article=GD5015AR","GD5015AR")</f>
        <v>GD5015AR</v>
      </c>
      <c r="D5864" t="s">
        <v>2</v>
      </c>
    </row>
    <row r="5865" spans="1:4" outlineLevel="1" x14ac:dyDescent="0.25">
      <c r="A5865" t="s">
        <v>692</v>
      </c>
      <c r="B5865" t="s">
        <v>5</v>
      </c>
      <c r="C5865" s="1" t="str">
        <f>HYPERLINK("http://продеталь.рф/search.html?article=TY380016L0L00","TY380016L0L00")</f>
        <v>TY380016L0L00</v>
      </c>
      <c r="D5865" t="s">
        <v>9</v>
      </c>
    </row>
    <row r="5866" spans="1:4" outlineLevel="1" x14ac:dyDescent="0.25">
      <c r="A5866" t="s">
        <v>692</v>
      </c>
      <c r="B5866" t="s">
        <v>5</v>
      </c>
      <c r="C5866" s="1" t="str">
        <f>HYPERLINK("http://продеталь.рф/search.html?article=TY11151AR","TY11151AR")</f>
        <v>TY11151AR</v>
      </c>
      <c r="D5866" t="s">
        <v>2</v>
      </c>
    </row>
    <row r="5867" spans="1:4" outlineLevel="1" x14ac:dyDescent="0.25">
      <c r="A5867" t="s">
        <v>692</v>
      </c>
      <c r="B5867" t="s">
        <v>19</v>
      </c>
      <c r="C5867" s="1" t="str">
        <f>HYPERLINK("http://продеталь.рф/search.html?article=1954640005B1","1954640005B1")</f>
        <v>1954640005B1</v>
      </c>
      <c r="D5867" t="s">
        <v>4</v>
      </c>
    </row>
    <row r="5868" spans="1:4" outlineLevel="1" x14ac:dyDescent="0.25">
      <c r="A5868" t="s">
        <v>692</v>
      </c>
      <c r="B5868" t="s">
        <v>19</v>
      </c>
      <c r="C5868" s="1" t="str">
        <f>HYPERLINK("http://продеталь.рф/search.html?article=19576300","19576300")</f>
        <v>19576300</v>
      </c>
      <c r="D5868" t="s">
        <v>4</v>
      </c>
    </row>
    <row r="5869" spans="1:4" outlineLevel="1" x14ac:dyDescent="0.25">
      <c r="A5869" t="s">
        <v>692</v>
      </c>
      <c r="B5869" t="s">
        <v>12</v>
      </c>
      <c r="C5869" s="1" t="str">
        <f>HYPERLINK("http://продеталь.рф/search.html?article=TY38093H0","TY38093H0")</f>
        <v>TY38093H0</v>
      </c>
      <c r="D5869" t="s">
        <v>9</v>
      </c>
    </row>
    <row r="5870" spans="1:4" outlineLevel="1" x14ac:dyDescent="0.25">
      <c r="A5870" t="s">
        <v>692</v>
      </c>
      <c r="B5870" t="s">
        <v>13</v>
      </c>
      <c r="C5870" s="1" t="str">
        <f>HYPERLINK("http://продеталь.рф/search.html?article=TY380000R0000","TY380000R0000")</f>
        <v>TY380000R0000</v>
      </c>
      <c r="D5870" t="s">
        <v>9</v>
      </c>
    </row>
    <row r="5871" spans="1:4" outlineLevel="1" x14ac:dyDescent="0.25">
      <c r="A5871" t="s">
        <v>692</v>
      </c>
      <c r="B5871" t="s">
        <v>13</v>
      </c>
      <c r="C5871" s="1" t="str">
        <f>HYPERLINK("http://продеталь.рф/search.html?article=TY38000RA0","TY38000RA0")</f>
        <v>TY38000RA0</v>
      </c>
      <c r="D5871" t="s">
        <v>9</v>
      </c>
    </row>
    <row r="5872" spans="1:4" x14ac:dyDescent="0.25">
      <c r="A5872" t="s">
        <v>694</v>
      </c>
      <c r="B5872" s="2" t="s">
        <v>694</v>
      </c>
      <c r="C5872" s="2"/>
      <c r="D5872" s="2"/>
    </row>
    <row r="5873" spans="1:4" outlineLevel="1" x14ac:dyDescent="0.25">
      <c r="A5873" t="s">
        <v>694</v>
      </c>
      <c r="B5873" t="s">
        <v>11</v>
      </c>
      <c r="C5873" s="1" t="str">
        <f>HYPERLINK("http://продеталь.рф/search.html?article=TY38100005100","TY38100005100")</f>
        <v>TY38100005100</v>
      </c>
      <c r="D5873" t="s">
        <v>9</v>
      </c>
    </row>
    <row r="5874" spans="1:4" outlineLevel="1" x14ac:dyDescent="0.25">
      <c r="A5874" t="s">
        <v>694</v>
      </c>
      <c r="B5874" t="s">
        <v>11</v>
      </c>
      <c r="C5874" s="1" t="str">
        <f>HYPERLINK("http://продеталь.рф/search.html?article=TY38100004100","TY38100004100")</f>
        <v>TY38100004100</v>
      </c>
      <c r="D5874" t="s">
        <v>9</v>
      </c>
    </row>
    <row r="5875" spans="1:4" outlineLevel="1" x14ac:dyDescent="0.25">
      <c r="A5875" t="s">
        <v>694</v>
      </c>
      <c r="B5875" t="s">
        <v>79</v>
      </c>
      <c r="C5875" s="1" t="str">
        <f>HYPERLINK("http://продеталь.рф/search.html?article=TY66041AAS","TY66041AAS")</f>
        <v>TY66041AAS</v>
      </c>
      <c r="D5875" t="s">
        <v>2</v>
      </c>
    </row>
    <row r="5876" spans="1:4" outlineLevel="1" x14ac:dyDescent="0.25">
      <c r="A5876" t="s">
        <v>694</v>
      </c>
      <c r="B5876" t="s">
        <v>74</v>
      </c>
      <c r="C5876" s="1" t="str">
        <f>HYPERLINK("http://продеталь.рф/search.html?article=682TYC029","682TYC029")</f>
        <v>682TYC029</v>
      </c>
      <c r="D5876" t="s">
        <v>4</v>
      </c>
    </row>
    <row r="5877" spans="1:4" outlineLevel="1" x14ac:dyDescent="0.25">
      <c r="A5877" t="s">
        <v>694</v>
      </c>
      <c r="B5877" t="s">
        <v>23</v>
      </c>
      <c r="C5877" s="1" t="str">
        <f>HYPERLINK("http://продеталь.рф/search.html?article=175250","175250")</f>
        <v>175250</v>
      </c>
      <c r="D5877" t="s">
        <v>4</v>
      </c>
    </row>
    <row r="5878" spans="1:4" outlineLevel="1" x14ac:dyDescent="0.25">
      <c r="A5878" t="s">
        <v>694</v>
      </c>
      <c r="B5878" t="s">
        <v>23</v>
      </c>
      <c r="C5878" s="1" t="str">
        <f>HYPERLINK("http://продеталь.рф/search.html?article=116184011","116184011")</f>
        <v>116184011</v>
      </c>
      <c r="D5878" t="s">
        <v>4</v>
      </c>
    </row>
    <row r="5879" spans="1:4" outlineLevel="1" x14ac:dyDescent="0.25">
      <c r="A5879" t="s">
        <v>694</v>
      </c>
      <c r="B5879" t="s">
        <v>23</v>
      </c>
      <c r="C5879" s="1" t="str">
        <f>HYPERLINK("http://продеталь.рф/search.html?article=116183011","116183011")</f>
        <v>116183011</v>
      </c>
      <c r="D5879" t="s">
        <v>4</v>
      </c>
    </row>
    <row r="5880" spans="1:4" outlineLevel="1" x14ac:dyDescent="0.25">
      <c r="A5880" t="s">
        <v>694</v>
      </c>
      <c r="B5880" t="s">
        <v>84</v>
      </c>
      <c r="C5880" s="1" t="str">
        <f>HYPERLINK("http://продеталь.рф/search.html?article=TY381000U0L00","TY381000U0L00")</f>
        <v>TY381000U0L00</v>
      </c>
      <c r="D5880" t="s">
        <v>9</v>
      </c>
    </row>
    <row r="5881" spans="1:4" outlineLevel="1" x14ac:dyDescent="0.25">
      <c r="A5881" t="s">
        <v>694</v>
      </c>
      <c r="B5881" t="s">
        <v>84</v>
      </c>
      <c r="C5881" s="1" t="str">
        <f>HYPERLINK("http://продеталь.рф/search.html?article=TY381000T0000","TY381000T0000")</f>
        <v>TY381000T0000</v>
      </c>
      <c r="D5881" t="s">
        <v>9</v>
      </c>
    </row>
    <row r="5882" spans="1:4" outlineLevel="1" x14ac:dyDescent="0.25">
      <c r="A5882" t="s">
        <v>694</v>
      </c>
      <c r="B5882" t="s">
        <v>24</v>
      </c>
      <c r="C5882" s="1" t="str">
        <f>HYPERLINK("http://продеталь.рф/search.html?article=TY38101600L00","TY38101600L00")</f>
        <v>TY38101600L00</v>
      </c>
      <c r="D5882" t="s">
        <v>9</v>
      </c>
    </row>
    <row r="5883" spans="1:4" outlineLevel="1" x14ac:dyDescent="0.25">
      <c r="A5883" t="s">
        <v>694</v>
      </c>
      <c r="B5883" t="s">
        <v>27</v>
      </c>
      <c r="C5883" s="1" t="str">
        <f>HYPERLINK("http://продеталь.рф/search.html?article=GD2722J","GD2722J")</f>
        <v>GD2722J</v>
      </c>
      <c r="D5883" t="s">
        <v>2</v>
      </c>
    </row>
    <row r="5884" spans="1:4" outlineLevel="1" x14ac:dyDescent="0.25">
      <c r="A5884" t="s">
        <v>694</v>
      </c>
      <c r="B5884" t="s">
        <v>27</v>
      </c>
      <c r="C5884" s="1" t="str">
        <f>HYPERLINK("http://продеталь.рф/search.html?article=PTY30106AU","PTY30106AU")</f>
        <v>PTY30106AU</v>
      </c>
      <c r="D5884" t="s">
        <v>6</v>
      </c>
    </row>
    <row r="5885" spans="1:4" outlineLevel="1" x14ac:dyDescent="0.25">
      <c r="A5885" t="s">
        <v>694</v>
      </c>
      <c r="B5885" t="s">
        <v>3</v>
      </c>
      <c r="C5885" s="1" t="str">
        <f>HYPERLINK("http://продеталь.рф/search.html?article=206758011","206758011")</f>
        <v>206758011</v>
      </c>
      <c r="D5885" t="s">
        <v>4</v>
      </c>
    </row>
    <row r="5886" spans="1:4" outlineLevel="1" x14ac:dyDescent="0.25">
      <c r="A5886" t="s">
        <v>694</v>
      </c>
      <c r="B5886" t="s">
        <v>3</v>
      </c>
      <c r="C5886" s="1" t="str">
        <f>HYPERLINK("http://продеталь.рф/search.html?article=206757011","206757011")</f>
        <v>206757011</v>
      </c>
      <c r="D5886" t="s">
        <v>4</v>
      </c>
    </row>
    <row r="5887" spans="1:4" outlineLevel="1" x14ac:dyDescent="0.25">
      <c r="A5887" t="s">
        <v>694</v>
      </c>
      <c r="B5887" t="s">
        <v>3</v>
      </c>
      <c r="C5887" s="1" t="str">
        <f>HYPERLINK("http://продеталь.рф/search.html?article=209088001A","209088001A")</f>
        <v>209088001A</v>
      </c>
      <c r="D5887" t="s">
        <v>4</v>
      </c>
    </row>
    <row r="5888" spans="1:4" outlineLevel="1" x14ac:dyDescent="0.25">
      <c r="A5888" t="s">
        <v>694</v>
      </c>
      <c r="B5888" t="s">
        <v>19</v>
      </c>
      <c r="C5888" s="1" t="str">
        <f>HYPERLINK("http://продеталь.рф/search.html?article=TY877B000L","TY877B000L")</f>
        <v>TY877B000L</v>
      </c>
      <c r="D5888" t="s">
        <v>69</v>
      </c>
    </row>
    <row r="5889" spans="1:4" outlineLevel="1" x14ac:dyDescent="0.25">
      <c r="A5889" t="s">
        <v>694</v>
      </c>
      <c r="B5889" t="s">
        <v>19</v>
      </c>
      <c r="C5889" s="1" t="str">
        <f>HYPERLINK("http://продеталь.рф/search.html?article=195921001","195921001")</f>
        <v>195921001</v>
      </c>
      <c r="D5889" t="s">
        <v>4</v>
      </c>
    </row>
    <row r="5890" spans="1:4" outlineLevel="1" x14ac:dyDescent="0.25">
      <c r="A5890" t="s">
        <v>694</v>
      </c>
      <c r="B5890" t="s">
        <v>8</v>
      </c>
      <c r="C5890" s="1" t="str">
        <f>HYPERLINK("http://продеталь.рф/search.html?article=TY39082A","TY39082A")</f>
        <v>TY39082A</v>
      </c>
      <c r="D5890" t="s">
        <v>2</v>
      </c>
    </row>
    <row r="5891" spans="1:4" outlineLevel="1" x14ac:dyDescent="0.25">
      <c r="A5891" t="s">
        <v>694</v>
      </c>
      <c r="B5891" t="s">
        <v>40</v>
      </c>
      <c r="C5891" s="1" t="str">
        <f>HYPERLINK("http://продеталь.рф/search.html?article=TY07429GA","TY07429GA")</f>
        <v>TY07429GA</v>
      </c>
      <c r="D5891" t="s">
        <v>2</v>
      </c>
    </row>
    <row r="5892" spans="1:4" outlineLevel="1" x14ac:dyDescent="0.25">
      <c r="A5892" t="s">
        <v>694</v>
      </c>
      <c r="B5892" t="s">
        <v>12</v>
      </c>
      <c r="C5892" s="1" t="str">
        <f>HYPERLINK("http://продеталь.рф/search.html?article=TYL50930","TYL50930")</f>
        <v>TYL50930</v>
      </c>
      <c r="D5892" t="s">
        <v>9</v>
      </c>
    </row>
    <row r="5893" spans="1:4" outlineLevel="1" x14ac:dyDescent="0.25">
      <c r="A5893" t="s">
        <v>694</v>
      </c>
      <c r="B5893" t="s">
        <v>12</v>
      </c>
      <c r="C5893" s="1" t="str">
        <f>HYPERLINK("http://продеталь.рф/search.html?article=TY38109305000","TY38109305000")</f>
        <v>TY38109305000</v>
      </c>
      <c r="D5893" t="s">
        <v>9</v>
      </c>
    </row>
    <row r="5894" spans="1:4" outlineLevel="1" x14ac:dyDescent="0.25">
      <c r="A5894" t="s">
        <v>694</v>
      </c>
      <c r="B5894" t="s">
        <v>12</v>
      </c>
      <c r="C5894" s="1" t="str">
        <f>HYPERLINK("http://продеталь.рф/search.html?article=TY07425GA","TY07425GA")</f>
        <v>TY07425GA</v>
      </c>
      <c r="D5894" t="s">
        <v>2</v>
      </c>
    </row>
    <row r="5895" spans="1:4" outlineLevel="1" x14ac:dyDescent="0.25">
      <c r="A5895" t="s">
        <v>694</v>
      </c>
      <c r="B5895" t="s">
        <v>12</v>
      </c>
      <c r="C5895" s="1" t="str">
        <f>HYPERLINK("http://продеталь.рф/search.html?article=PTY07426GA","PTY07426GA")</f>
        <v>PTY07426GA</v>
      </c>
      <c r="D5895" t="s">
        <v>6</v>
      </c>
    </row>
    <row r="5896" spans="1:4" outlineLevel="1" x14ac:dyDescent="0.25">
      <c r="A5896" t="s">
        <v>694</v>
      </c>
      <c r="B5896" t="s">
        <v>12</v>
      </c>
      <c r="C5896" s="1" t="str">
        <f>HYPERLINK("http://продеталь.рф/search.html?article=TY07424GA","TY07424GA")</f>
        <v>TY07424GA</v>
      </c>
      <c r="D5896" t="s">
        <v>2</v>
      </c>
    </row>
    <row r="5897" spans="1:4" outlineLevel="1" x14ac:dyDescent="0.25">
      <c r="A5897" t="s">
        <v>694</v>
      </c>
      <c r="B5897" t="s">
        <v>118</v>
      </c>
      <c r="C5897" s="1" t="str">
        <f>HYPERLINK("http://продеталь.рф/search.html?article=STY2150LR","STY2150LR")</f>
        <v>STY2150LR</v>
      </c>
      <c r="D5897" t="s">
        <v>63</v>
      </c>
    </row>
    <row r="5898" spans="1:4" outlineLevel="1" x14ac:dyDescent="0.25">
      <c r="A5898" t="s">
        <v>694</v>
      </c>
      <c r="B5898" t="s">
        <v>13</v>
      </c>
      <c r="C5898" s="1" t="str">
        <f>HYPERLINK("http://продеталь.рф/search.html?article=TY44373A","TY44373A")</f>
        <v>TY44373A</v>
      </c>
      <c r="D5898" t="s">
        <v>99</v>
      </c>
    </row>
    <row r="5899" spans="1:4" outlineLevel="1" x14ac:dyDescent="0.25">
      <c r="A5899" t="s">
        <v>694</v>
      </c>
      <c r="B5899" t="s">
        <v>13</v>
      </c>
      <c r="C5899" s="1" t="str">
        <f>HYPERLINK("http://продеталь.рф/search.html?article=TY44373B","TY44373B")</f>
        <v>TY44373B</v>
      </c>
      <c r="D5899" t="s">
        <v>99</v>
      </c>
    </row>
    <row r="5900" spans="1:4" x14ac:dyDescent="0.25">
      <c r="A5900" t="s">
        <v>695</v>
      </c>
      <c r="B5900" s="2" t="s">
        <v>695</v>
      </c>
      <c r="C5900" s="2"/>
      <c r="D5900" s="2"/>
    </row>
    <row r="5901" spans="1:4" outlineLevel="1" x14ac:dyDescent="0.25">
      <c r="A5901" t="s">
        <v>695</v>
      </c>
      <c r="B5901" t="s">
        <v>11</v>
      </c>
      <c r="C5901" s="1" t="str">
        <f>HYPERLINK("http://продеталь.рф/search.html?article=TY04420BA","TY04420BA")</f>
        <v>TY04420BA</v>
      </c>
      <c r="D5901" t="s">
        <v>2</v>
      </c>
    </row>
    <row r="5902" spans="1:4" outlineLevel="1" x14ac:dyDescent="0.25">
      <c r="A5902" t="s">
        <v>695</v>
      </c>
      <c r="B5902" t="s">
        <v>11</v>
      </c>
      <c r="C5902" s="1" t="str">
        <f>HYPERLINK("http://продеталь.рф/search.html?article=PTY04420BR","PTY04420BR")</f>
        <v>PTY04420BR</v>
      </c>
      <c r="D5902" t="s">
        <v>6</v>
      </c>
    </row>
    <row r="5903" spans="1:4" outlineLevel="1" x14ac:dyDescent="0.25">
      <c r="A5903" t="s">
        <v>695</v>
      </c>
      <c r="B5903" t="s">
        <v>1</v>
      </c>
      <c r="C5903" s="1" t="str">
        <f>HYPERLINK("http://продеталь.рф/search.html?article=PTY20208A","PTY20208A")</f>
        <v>PTY20208A</v>
      </c>
      <c r="D5903" t="s">
        <v>6</v>
      </c>
    </row>
    <row r="5904" spans="1:4" outlineLevel="1" x14ac:dyDescent="0.25">
      <c r="A5904" t="s">
        <v>695</v>
      </c>
      <c r="B5904" t="s">
        <v>24</v>
      </c>
      <c r="C5904" s="1" t="str">
        <f>HYPERLINK("http://продеталь.рф/search.html?article=TY38201601L00","TY38201601L00")</f>
        <v>TY38201601L00</v>
      </c>
      <c r="D5904" t="s">
        <v>9</v>
      </c>
    </row>
    <row r="5905" spans="1:4" outlineLevel="1" x14ac:dyDescent="0.25">
      <c r="A5905" t="s">
        <v>695</v>
      </c>
      <c r="B5905" t="s">
        <v>134</v>
      </c>
      <c r="C5905" s="1" t="str">
        <f>HYPERLINK("http://продеталь.рф/search.html?article=BT0352","BT0352")</f>
        <v>BT0352</v>
      </c>
      <c r="D5905" t="s">
        <v>36</v>
      </c>
    </row>
    <row r="5906" spans="1:4" outlineLevel="1" x14ac:dyDescent="0.25">
      <c r="A5906" t="s">
        <v>695</v>
      </c>
      <c r="B5906" t="s">
        <v>5</v>
      </c>
      <c r="C5906" s="1" t="str">
        <f>HYPERLINK("http://продеталь.рф/search.html?article=2584NR","2584NR")</f>
        <v>2584NR</v>
      </c>
      <c r="D5906" t="s">
        <v>36</v>
      </c>
    </row>
    <row r="5907" spans="1:4" outlineLevel="1" x14ac:dyDescent="0.25">
      <c r="A5907" t="s">
        <v>695</v>
      </c>
      <c r="B5907" t="s">
        <v>12</v>
      </c>
      <c r="C5907" s="1" t="str">
        <f>HYPERLINK("http://продеталь.рф/search.html?article=3279W","3279W")</f>
        <v>3279W</v>
      </c>
      <c r="D5907" t="s">
        <v>36</v>
      </c>
    </row>
    <row r="5908" spans="1:4" x14ac:dyDescent="0.25">
      <c r="A5908" t="s">
        <v>696</v>
      </c>
      <c r="B5908" s="2" t="s">
        <v>696</v>
      </c>
      <c r="C5908" s="2"/>
      <c r="D5908" s="2"/>
    </row>
    <row r="5909" spans="1:4" outlineLevel="1" x14ac:dyDescent="0.25">
      <c r="A5909" t="s">
        <v>696</v>
      </c>
      <c r="B5909" t="s">
        <v>24</v>
      </c>
      <c r="C5909" s="1" t="str">
        <f>HYPERLINK("http://продеталь.рф/search.html?article=TY10044BR","TY10044BR")</f>
        <v>TY10044BR</v>
      </c>
      <c r="D5909" t="s">
        <v>2</v>
      </c>
    </row>
    <row r="5910" spans="1:4" outlineLevel="1" x14ac:dyDescent="0.25">
      <c r="A5910" t="s">
        <v>696</v>
      </c>
      <c r="B5910" t="s">
        <v>3</v>
      </c>
      <c r="C5910" s="1" t="str">
        <f>HYPERLINK("http://продеталь.рф/search.html?article=201402016B","201402016B")</f>
        <v>201402016B</v>
      </c>
      <c r="D5910" t="s">
        <v>4</v>
      </c>
    </row>
    <row r="5911" spans="1:4" outlineLevel="1" x14ac:dyDescent="0.25">
      <c r="A5911" t="s">
        <v>696</v>
      </c>
      <c r="B5911" t="s">
        <v>3</v>
      </c>
      <c r="C5911" s="1" t="str">
        <f>HYPERLINK("http://продеталь.рф/search.html?article=201401016B","201401016B")</f>
        <v>201401016B</v>
      </c>
      <c r="D5911" t="s">
        <v>4</v>
      </c>
    </row>
    <row r="5912" spans="1:4" outlineLevel="1" x14ac:dyDescent="0.25">
      <c r="A5912" t="s">
        <v>696</v>
      </c>
      <c r="B5912" t="s">
        <v>697</v>
      </c>
      <c r="C5912" s="1" t="str">
        <f>HYPERLINK("http://продеталь.рф/search.html?article=PTY11044AL","PTY11044AL")</f>
        <v>PTY11044AL</v>
      </c>
      <c r="D5912" t="s">
        <v>6</v>
      </c>
    </row>
    <row r="5913" spans="1:4" outlineLevel="1" x14ac:dyDescent="0.25">
      <c r="A5913" t="s">
        <v>696</v>
      </c>
      <c r="B5913" t="s">
        <v>16</v>
      </c>
      <c r="C5913" s="1" t="str">
        <f>HYPERLINK("http://продеталь.рф/search.html?article=181505052","181505052")</f>
        <v>181505052</v>
      </c>
      <c r="D5913" t="s">
        <v>4</v>
      </c>
    </row>
    <row r="5914" spans="1:4" outlineLevel="1" x14ac:dyDescent="0.25">
      <c r="A5914" t="s">
        <v>696</v>
      </c>
      <c r="B5914" t="s">
        <v>16</v>
      </c>
      <c r="C5914" s="1" t="str">
        <f>HYPERLINK("http://продеталь.рф/search.html?article=181504052","181504052")</f>
        <v>181504052</v>
      </c>
      <c r="D5914" t="s">
        <v>4</v>
      </c>
    </row>
    <row r="5915" spans="1:4" x14ac:dyDescent="0.25">
      <c r="A5915" t="s">
        <v>698</v>
      </c>
      <c r="B5915" s="2" t="s">
        <v>698</v>
      </c>
      <c r="C5915" s="2"/>
      <c r="D5915" s="2"/>
    </row>
    <row r="5916" spans="1:4" outlineLevel="1" x14ac:dyDescent="0.25">
      <c r="A5916" t="s">
        <v>698</v>
      </c>
      <c r="B5916" t="s">
        <v>11</v>
      </c>
      <c r="C5916" s="1" t="str">
        <f>HYPERLINK("http://продеталь.рф/search.html?article=TY450870","TY450870")</f>
        <v>TY450870</v>
      </c>
      <c r="D5916" t="s">
        <v>9</v>
      </c>
    </row>
    <row r="5917" spans="1:4" outlineLevel="1" x14ac:dyDescent="0.25">
      <c r="A5917" t="s">
        <v>698</v>
      </c>
      <c r="B5917" t="s">
        <v>15</v>
      </c>
      <c r="C5917" s="1" t="str">
        <f>HYPERLINK("http://продеталь.рф/search.html?article=3360004","3360004")</f>
        <v>3360004</v>
      </c>
      <c r="D5917" t="s">
        <v>4</v>
      </c>
    </row>
    <row r="5918" spans="1:4" outlineLevel="1" x14ac:dyDescent="0.25">
      <c r="A5918" t="s">
        <v>698</v>
      </c>
      <c r="B5918" t="s">
        <v>15</v>
      </c>
      <c r="C5918" s="1" t="str">
        <f>HYPERLINK("http://продеталь.рф/search.html?article=3360005","3360005")</f>
        <v>3360005</v>
      </c>
      <c r="D5918" t="s">
        <v>4</v>
      </c>
    </row>
    <row r="5919" spans="1:4" outlineLevel="1" x14ac:dyDescent="0.25">
      <c r="A5919" t="s">
        <v>698</v>
      </c>
      <c r="B5919" t="s">
        <v>23</v>
      </c>
      <c r="C5919" s="1" t="str">
        <f>HYPERLINK("http://продеталь.рф/search.html?article=111812006","111812006")</f>
        <v>111812006</v>
      </c>
      <c r="D5919" t="s">
        <v>4</v>
      </c>
    </row>
    <row r="5920" spans="1:4" outlineLevel="1" x14ac:dyDescent="0.25">
      <c r="A5920" t="s">
        <v>698</v>
      </c>
      <c r="B5920" t="s">
        <v>1</v>
      </c>
      <c r="C5920" s="1" t="str">
        <f>HYPERLINK("http://продеталь.рф/search.html?article=TY20054A","TY20054A")</f>
        <v>TY20054A</v>
      </c>
      <c r="D5920" t="s">
        <v>2</v>
      </c>
    </row>
    <row r="5921" spans="1:4" outlineLevel="1" x14ac:dyDescent="0.25">
      <c r="A5921" t="s">
        <v>698</v>
      </c>
      <c r="B5921" t="s">
        <v>3</v>
      </c>
      <c r="C5921" s="1" t="str">
        <f>HYPERLINK("http://продеталь.рф/search.html?article=203151082","203151082")</f>
        <v>203151082</v>
      </c>
      <c r="D5921" t="s">
        <v>4</v>
      </c>
    </row>
    <row r="5922" spans="1:4" outlineLevel="1" x14ac:dyDescent="0.25">
      <c r="A5922" t="s">
        <v>698</v>
      </c>
      <c r="B5922" t="s">
        <v>3</v>
      </c>
      <c r="C5922" s="1" t="str">
        <f>HYPERLINK("http://продеталь.рф/search.html?article=203150082","203150082")</f>
        <v>203150082</v>
      </c>
      <c r="D5922" t="s">
        <v>4</v>
      </c>
    </row>
    <row r="5923" spans="1:4" outlineLevel="1" x14ac:dyDescent="0.25">
      <c r="A5923" t="s">
        <v>698</v>
      </c>
      <c r="B5923" t="s">
        <v>3</v>
      </c>
      <c r="C5923" s="1" t="str">
        <f>HYPERLINK("http://продеталь.рф/search.html?article=203151182","203151182")</f>
        <v>203151182</v>
      </c>
      <c r="D5923" t="s">
        <v>4</v>
      </c>
    </row>
    <row r="5924" spans="1:4" outlineLevel="1" x14ac:dyDescent="0.25">
      <c r="A5924" t="s">
        <v>698</v>
      </c>
      <c r="B5924" t="s">
        <v>3</v>
      </c>
      <c r="C5924" s="1" t="str">
        <f>HYPERLINK("http://продеталь.рф/search.html?article=203150182","203150182")</f>
        <v>203150182</v>
      </c>
      <c r="D5924" t="s">
        <v>4</v>
      </c>
    </row>
    <row r="5925" spans="1:4" outlineLevel="1" x14ac:dyDescent="0.25">
      <c r="A5925" t="s">
        <v>698</v>
      </c>
      <c r="B5925" t="s">
        <v>5</v>
      </c>
      <c r="C5925" s="1" t="str">
        <f>HYPERLINK("http://продеталь.рф/search.html?article=PTY11070CL","PTY11070CL")</f>
        <v>PTY11070CL</v>
      </c>
      <c r="D5925" t="s">
        <v>6</v>
      </c>
    </row>
    <row r="5926" spans="1:4" outlineLevel="1" x14ac:dyDescent="0.25">
      <c r="A5926" t="s">
        <v>698</v>
      </c>
      <c r="B5926" t="s">
        <v>5</v>
      </c>
      <c r="C5926" s="1" t="str">
        <f>HYPERLINK("http://продеталь.рф/search.html?article=PTY11070CR","PTY11070CR")</f>
        <v>PTY11070CR</v>
      </c>
      <c r="D5926" t="s">
        <v>6</v>
      </c>
    </row>
    <row r="5927" spans="1:4" outlineLevel="1" x14ac:dyDescent="0.25">
      <c r="A5927" t="s">
        <v>698</v>
      </c>
      <c r="B5927" t="s">
        <v>16</v>
      </c>
      <c r="C5927" s="1" t="str">
        <f>HYPERLINK("http://продеталь.рф/search.html?article=183149052","183149052")</f>
        <v>183149052</v>
      </c>
      <c r="D5927" t="s">
        <v>4</v>
      </c>
    </row>
    <row r="5928" spans="1:4" outlineLevel="1" x14ac:dyDescent="0.25">
      <c r="A5928" t="s">
        <v>698</v>
      </c>
      <c r="B5928" t="s">
        <v>16</v>
      </c>
      <c r="C5928" s="1" t="str">
        <f>HYPERLINK("http://продеталь.рф/search.html?article=183148052","183148052")</f>
        <v>183148052</v>
      </c>
      <c r="D5928" t="s">
        <v>4</v>
      </c>
    </row>
    <row r="5929" spans="1:4" outlineLevel="1" x14ac:dyDescent="0.25">
      <c r="A5929" t="s">
        <v>698</v>
      </c>
      <c r="B5929" t="s">
        <v>16</v>
      </c>
      <c r="C5929" s="1" t="str">
        <f>HYPERLINK("http://продеталь.рф/search.html?article=185248052","185248052")</f>
        <v>185248052</v>
      </c>
      <c r="D5929" t="s">
        <v>4</v>
      </c>
    </row>
    <row r="5930" spans="1:4" outlineLevel="1" x14ac:dyDescent="0.25">
      <c r="A5930" t="s">
        <v>698</v>
      </c>
      <c r="B5930" t="s">
        <v>16</v>
      </c>
      <c r="C5930" s="1" t="str">
        <f>HYPERLINK("http://продеталь.рф/search.html?article=185247052","185247052")</f>
        <v>185247052</v>
      </c>
      <c r="D5930" t="s">
        <v>4</v>
      </c>
    </row>
    <row r="5931" spans="1:4" outlineLevel="1" x14ac:dyDescent="0.25">
      <c r="A5931" t="s">
        <v>698</v>
      </c>
      <c r="B5931" t="s">
        <v>13</v>
      </c>
      <c r="C5931" s="1" t="str">
        <f>HYPERLINK("http://продеталь.рф/search.html?article=TY450000R1000","TY450000R1000")</f>
        <v>TY450000R1000</v>
      </c>
      <c r="D5931" t="s">
        <v>9</v>
      </c>
    </row>
    <row r="5932" spans="1:4" x14ac:dyDescent="0.25">
      <c r="A5932" t="s">
        <v>699</v>
      </c>
      <c r="B5932" s="2" t="s">
        <v>699</v>
      </c>
      <c r="C5932" s="2"/>
      <c r="D5932" s="2"/>
    </row>
    <row r="5933" spans="1:4" outlineLevel="1" x14ac:dyDescent="0.25">
      <c r="A5933" t="s">
        <v>699</v>
      </c>
      <c r="B5933" t="s">
        <v>11</v>
      </c>
      <c r="C5933" s="1" t="str">
        <f>HYPERLINK("http://продеталь.рф/search.html?article=TY090000","TY090000")</f>
        <v>TY090000</v>
      </c>
      <c r="D5933" t="s">
        <v>9</v>
      </c>
    </row>
    <row r="5934" spans="1:4" outlineLevel="1" x14ac:dyDescent="0.25">
      <c r="A5934" t="s">
        <v>699</v>
      </c>
      <c r="B5934" t="s">
        <v>35</v>
      </c>
      <c r="C5934" s="1" t="str">
        <f>HYPERLINK("http://продеталь.рф/search.html?article=TY090252","TY090252")</f>
        <v>TY090252</v>
      </c>
      <c r="D5934" t="s">
        <v>9</v>
      </c>
    </row>
    <row r="5935" spans="1:4" outlineLevel="1" x14ac:dyDescent="0.25">
      <c r="A5935" t="s">
        <v>699</v>
      </c>
      <c r="B5935" t="s">
        <v>35</v>
      </c>
      <c r="C5935" s="1" t="str">
        <f>HYPERLINK("http://продеталь.рф/search.html?article=TY090251","TY090251")</f>
        <v>TY090251</v>
      </c>
      <c r="D5935" t="s">
        <v>9</v>
      </c>
    </row>
    <row r="5936" spans="1:4" outlineLevel="1" x14ac:dyDescent="0.25">
      <c r="A5936" t="s">
        <v>699</v>
      </c>
      <c r="B5936" t="s">
        <v>1</v>
      </c>
      <c r="C5936" s="1" t="str">
        <f>HYPERLINK("http://продеталь.рф/search.html?article=TY20010A","TY20010A")</f>
        <v>TY20010A</v>
      </c>
      <c r="D5936" t="s">
        <v>2</v>
      </c>
    </row>
    <row r="5937" spans="1:4" outlineLevel="1" x14ac:dyDescent="0.25">
      <c r="A5937" t="s">
        <v>699</v>
      </c>
      <c r="B5937" t="s">
        <v>5</v>
      </c>
      <c r="C5937" s="1" t="str">
        <f>HYPERLINK("http://продеталь.рф/search.html?article=212333","212333")</f>
        <v>212333</v>
      </c>
      <c r="D5937" t="s">
        <v>21</v>
      </c>
    </row>
    <row r="5938" spans="1:4" outlineLevel="1" x14ac:dyDescent="0.25">
      <c r="A5938" t="s">
        <v>699</v>
      </c>
      <c r="B5938" t="s">
        <v>5</v>
      </c>
      <c r="C5938" s="1" t="str">
        <f>HYPERLINK("http://продеталь.рф/search.html?article=212334","212334")</f>
        <v>212334</v>
      </c>
      <c r="D5938" t="s">
        <v>21</v>
      </c>
    </row>
    <row r="5939" spans="1:4" outlineLevel="1" x14ac:dyDescent="0.25">
      <c r="A5939" t="s">
        <v>699</v>
      </c>
      <c r="B5939" t="s">
        <v>13</v>
      </c>
      <c r="C5939" s="1" t="str">
        <f>HYPERLINK("http://продеталь.рф/search.html?article=TY09000R0","TY09000R0")</f>
        <v>TY09000R0</v>
      </c>
      <c r="D5939" t="s">
        <v>9</v>
      </c>
    </row>
    <row r="5940" spans="1:4" x14ac:dyDescent="0.25">
      <c r="A5940" t="s">
        <v>700</v>
      </c>
      <c r="B5940" s="2" t="s">
        <v>700</v>
      </c>
      <c r="C5940" s="2"/>
      <c r="D5940" s="2"/>
    </row>
    <row r="5941" spans="1:4" outlineLevel="1" x14ac:dyDescent="0.25">
      <c r="A5941" t="s">
        <v>700</v>
      </c>
      <c r="B5941" t="s">
        <v>11</v>
      </c>
      <c r="C5941" s="1" t="str">
        <f>HYPERLINK("http://продеталь.рф/search.html?article=TY28000W0","TY28000W0")</f>
        <v>TY28000W0</v>
      </c>
      <c r="D5941" t="s">
        <v>9</v>
      </c>
    </row>
    <row r="5942" spans="1:4" outlineLevel="1" x14ac:dyDescent="0.25">
      <c r="A5942" t="s">
        <v>700</v>
      </c>
      <c r="B5942" t="s">
        <v>11</v>
      </c>
      <c r="C5942" s="1" t="str">
        <f>HYPERLINK("http://продеталь.рф/search.html?article=GD3058E","GD3058E")</f>
        <v>GD3058E</v>
      </c>
      <c r="D5942" t="s">
        <v>2</v>
      </c>
    </row>
    <row r="5943" spans="1:4" outlineLevel="1" x14ac:dyDescent="0.25">
      <c r="A5943" t="s">
        <v>700</v>
      </c>
      <c r="B5943" t="s">
        <v>11</v>
      </c>
      <c r="C5943" s="1" t="str">
        <f>HYPERLINK("http://продеталь.рф/search.html?article=TY28000UA0","TY28000UA0")</f>
        <v>TY28000UA0</v>
      </c>
      <c r="D5943" t="s">
        <v>9</v>
      </c>
    </row>
    <row r="5944" spans="1:4" outlineLevel="1" x14ac:dyDescent="0.25">
      <c r="A5944" t="s">
        <v>700</v>
      </c>
      <c r="B5944" t="s">
        <v>11</v>
      </c>
      <c r="C5944" s="1" t="str">
        <f>HYPERLINK("http://продеталь.рф/search.html?article=TY28187T0","TY28187T0")</f>
        <v>TY28187T0</v>
      </c>
      <c r="D5944" t="s">
        <v>9</v>
      </c>
    </row>
    <row r="5945" spans="1:4" outlineLevel="1" x14ac:dyDescent="0.25">
      <c r="A5945" t="s">
        <v>700</v>
      </c>
      <c r="B5945" t="s">
        <v>15</v>
      </c>
      <c r="C5945" s="1" t="str">
        <f>HYPERLINK("http://продеталь.рф/search.html?article=TY28941S1","TY28941S1")</f>
        <v>TY28941S1</v>
      </c>
      <c r="D5945" t="s">
        <v>9</v>
      </c>
    </row>
    <row r="5946" spans="1:4" outlineLevel="1" x14ac:dyDescent="0.25">
      <c r="A5946" t="s">
        <v>700</v>
      </c>
      <c r="B5946" t="s">
        <v>23</v>
      </c>
      <c r="C5946" s="1" t="str">
        <f>HYPERLINK("http://продеталь.рф/search.html?article=11570300","11570300")</f>
        <v>11570300</v>
      </c>
      <c r="D5946" t="s">
        <v>4</v>
      </c>
    </row>
    <row r="5947" spans="1:4" outlineLevel="1" x14ac:dyDescent="0.25">
      <c r="A5947" t="s">
        <v>700</v>
      </c>
      <c r="B5947" t="s">
        <v>35</v>
      </c>
      <c r="C5947" s="1" t="str">
        <f>HYPERLINK("http://продеталь.рф/search.html?article=TY28025S1","TY28025S1")</f>
        <v>TY28025S1</v>
      </c>
      <c r="D5947" t="s">
        <v>9</v>
      </c>
    </row>
    <row r="5948" spans="1:4" outlineLevel="1" x14ac:dyDescent="0.25">
      <c r="A5948" t="s">
        <v>700</v>
      </c>
      <c r="B5948" t="s">
        <v>1</v>
      </c>
      <c r="C5948" s="1" t="str">
        <f>HYPERLINK("http://продеталь.рф/search.html?article=PTY20096B","PTY20096B")</f>
        <v>PTY20096B</v>
      </c>
      <c r="D5948" t="s">
        <v>6</v>
      </c>
    </row>
    <row r="5949" spans="1:4" outlineLevel="1" x14ac:dyDescent="0.25">
      <c r="A5949" t="s">
        <v>700</v>
      </c>
      <c r="B5949" t="s">
        <v>24</v>
      </c>
      <c r="C5949" s="1" t="str">
        <f>HYPERLINK("http://продеталь.рф/search.html?article=TY10143CL","TY10143CL")</f>
        <v>TY10143CL</v>
      </c>
      <c r="D5949" t="s">
        <v>2</v>
      </c>
    </row>
    <row r="5950" spans="1:4" outlineLevel="1" x14ac:dyDescent="0.25">
      <c r="A5950" t="s">
        <v>700</v>
      </c>
      <c r="B5950" t="s">
        <v>24</v>
      </c>
      <c r="C5950" s="1" t="str">
        <f>HYPERLINK("http://продеталь.рф/search.html?article=TY10143CR","TY10143CR")</f>
        <v>TY10143CR</v>
      </c>
      <c r="D5950" t="s">
        <v>2</v>
      </c>
    </row>
    <row r="5951" spans="1:4" outlineLevel="1" x14ac:dyDescent="0.25">
      <c r="A5951" t="s">
        <v>700</v>
      </c>
      <c r="B5951" t="s">
        <v>103</v>
      </c>
      <c r="C5951" s="1" t="str">
        <f>HYPERLINK("http://продеталь.рф/search.html?article=PTY99039CAL","PTY99039CAL")</f>
        <v>PTY99039CAL</v>
      </c>
      <c r="D5951" t="s">
        <v>6</v>
      </c>
    </row>
    <row r="5952" spans="1:4" outlineLevel="1" x14ac:dyDescent="0.25">
      <c r="A5952" t="s">
        <v>700</v>
      </c>
      <c r="B5952" t="s">
        <v>103</v>
      </c>
      <c r="C5952" s="1" t="str">
        <f>HYPERLINK("http://продеталь.рф/search.html?article=PTY99039CAR","PTY99039CAR")</f>
        <v>PTY99039CAR</v>
      </c>
      <c r="D5952" t="s">
        <v>6</v>
      </c>
    </row>
    <row r="5953" spans="1:4" outlineLevel="1" x14ac:dyDescent="0.25">
      <c r="A5953" t="s">
        <v>700</v>
      </c>
      <c r="B5953" t="s">
        <v>103</v>
      </c>
      <c r="C5953" s="1" t="str">
        <f>HYPERLINK("http://продеталь.рф/search.html?article=PTY99040CAR","PTY99040CAR")</f>
        <v>PTY99040CAR</v>
      </c>
      <c r="D5953" t="s">
        <v>6</v>
      </c>
    </row>
    <row r="5954" spans="1:4" outlineLevel="1" x14ac:dyDescent="0.25">
      <c r="A5954" t="s">
        <v>700</v>
      </c>
      <c r="B5954" t="s">
        <v>103</v>
      </c>
      <c r="C5954" s="1" t="str">
        <f>HYPERLINK("http://продеталь.рф/search.html?article=PTY99040CAL","PTY99040CAL")</f>
        <v>PTY99040CAL</v>
      </c>
      <c r="D5954" t="s">
        <v>6</v>
      </c>
    </row>
    <row r="5955" spans="1:4" outlineLevel="1" x14ac:dyDescent="0.25">
      <c r="A5955" t="s">
        <v>700</v>
      </c>
      <c r="B5955" t="s">
        <v>3</v>
      </c>
      <c r="C5955" s="1" t="str">
        <f>HYPERLINK("http://продеталь.рф/search.html?article=206236A01","206236A01")</f>
        <v>206236A01</v>
      </c>
      <c r="D5955" t="s">
        <v>4</v>
      </c>
    </row>
    <row r="5956" spans="1:4" outlineLevel="1" x14ac:dyDescent="0.25">
      <c r="A5956" t="s">
        <v>700</v>
      </c>
      <c r="B5956" t="s">
        <v>3</v>
      </c>
      <c r="C5956" s="1" t="str">
        <f>HYPERLINK("http://продеталь.рф/search.html?article=206235A01","206235A01")</f>
        <v>206235A01</v>
      </c>
      <c r="D5956" t="s">
        <v>4</v>
      </c>
    </row>
    <row r="5957" spans="1:4" outlineLevel="1" x14ac:dyDescent="0.25">
      <c r="A5957" t="s">
        <v>700</v>
      </c>
      <c r="B5957" t="s">
        <v>5</v>
      </c>
      <c r="C5957" s="1" t="str">
        <f>HYPERLINK("http://продеталь.рф/search.html?article=TY28016LS2","TY28016LS2")</f>
        <v>TY28016LS2</v>
      </c>
      <c r="D5957" t="s">
        <v>9</v>
      </c>
    </row>
    <row r="5958" spans="1:4" outlineLevel="1" x14ac:dyDescent="0.25">
      <c r="A5958" t="s">
        <v>700</v>
      </c>
      <c r="B5958" t="s">
        <v>5</v>
      </c>
      <c r="C5958" s="1" t="str">
        <f>HYPERLINK("http://продеталь.рф/search.html?article=TY28016LS1","TY28016LS1")</f>
        <v>TY28016LS1</v>
      </c>
      <c r="D5958" t="s">
        <v>9</v>
      </c>
    </row>
    <row r="5959" spans="1:4" x14ac:dyDescent="0.25">
      <c r="A5959" t="s">
        <v>701</v>
      </c>
      <c r="B5959" s="2" t="s">
        <v>701</v>
      </c>
      <c r="C5959" s="2"/>
      <c r="D5959" s="2"/>
    </row>
    <row r="5960" spans="1:4" outlineLevel="1" x14ac:dyDescent="0.25">
      <c r="A5960" t="s">
        <v>701</v>
      </c>
      <c r="B5960" t="s">
        <v>11</v>
      </c>
      <c r="C5960" s="1" t="str">
        <f>HYPERLINK("http://продеталь.рф/search.html?article=TY04048BA","TY04048BA")</f>
        <v>TY04048BA</v>
      </c>
      <c r="D5960" t="s">
        <v>2</v>
      </c>
    </row>
    <row r="5961" spans="1:4" outlineLevel="1" x14ac:dyDescent="0.25">
      <c r="A5961" t="s">
        <v>701</v>
      </c>
      <c r="B5961" t="s">
        <v>11</v>
      </c>
      <c r="C5961" s="1" t="str">
        <f>HYPERLINK("http://продеталь.рф/search.html?article=TY04061BB","TY04061BB")</f>
        <v>TY04061BB</v>
      </c>
      <c r="D5961" t="s">
        <v>2</v>
      </c>
    </row>
    <row r="5962" spans="1:4" outlineLevel="1" x14ac:dyDescent="0.25">
      <c r="A5962" t="s">
        <v>701</v>
      </c>
      <c r="B5962" t="s">
        <v>15</v>
      </c>
      <c r="C5962" s="1" t="str">
        <f>HYPERLINK("http://продеталь.рф/search.html?article=3360010","3360010")</f>
        <v>3360010</v>
      </c>
      <c r="D5962" t="s">
        <v>4</v>
      </c>
    </row>
    <row r="5963" spans="1:4" outlineLevel="1" x14ac:dyDescent="0.25">
      <c r="A5963" t="s">
        <v>701</v>
      </c>
      <c r="B5963" t="s">
        <v>159</v>
      </c>
      <c r="C5963" s="1" t="str">
        <f>HYPERLINK("http://продеталь.рф/search.html?article=8360002","8360002")</f>
        <v>8360002</v>
      </c>
      <c r="D5963" t="s">
        <v>4</v>
      </c>
    </row>
    <row r="5964" spans="1:4" outlineLevel="1" x14ac:dyDescent="0.25">
      <c r="A5964" t="s">
        <v>701</v>
      </c>
      <c r="B5964" t="s">
        <v>23</v>
      </c>
      <c r="C5964" s="1" t="str">
        <f>HYPERLINK("http://продеталь.рф/search.html?article=11186400","11186400")</f>
        <v>11186400</v>
      </c>
      <c r="D5964" t="s">
        <v>4</v>
      </c>
    </row>
    <row r="5965" spans="1:4" outlineLevel="1" x14ac:dyDescent="0.25">
      <c r="A5965" t="s">
        <v>701</v>
      </c>
      <c r="B5965" t="s">
        <v>23</v>
      </c>
      <c r="C5965" s="1" t="str">
        <f>HYPERLINK("http://продеталь.рф/search.html?article=11186300","11186300")</f>
        <v>11186300</v>
      </c>
      <c r="D5965" t="s">
        <v>4</v>
      </c>
    </row>
    <row r="5966" spans="1:4" outlineLevel="1" x14ac:dyDescent="0.25">
      <c r="A5966" t="s">
        <v>701</v>
      </c>
      <c r="B5966" t="s">
        <v>27</v>
      </c>
      <c r="C5966" s="1" t="str">
        <f>HYPERLINK("http://продеталь.рф/search.html?article=TY30013A","TY30013A")</f>
        <v>TY30013A</v>
      </c>
      <c r="D5966" t="s">
        <v>2</v>
      </c>
    </row>
    <row r="5967" spans="1:4" outlineLevel="1" x14ac:dyDescent="0.25">
      <c r="A5967" t="s">
        <v>701</v>
      </c>
      <c r="B5967" t="s">
        <v>3</v>
      </c>
      <c r="C5967" s="1" t="str">
        <f>HYPERLINK("http://продеталь.рф/search.html?article=203276B56B","203276B56B")</f>
        <v>203276B56B</v>
      </c>
      <c r="D5967" t="s">
        <v>4</v>
      </c>
    </row>
    <row r="5968" spans="1:4" outlineLevel="1" x14ac:dyDescent="0.25">
      <c r="A5968" t="s">
        <v>701</v>
      </c>
      <c r="B5968" t="s">
        <v>3</v>
      </c>
      <c r="C5968" s="1" t="str">
        <f>HYPERLINK("http://продеталь.рф/search.html?article=203275B56B","203275B56B")</f>
        <v>203275B56B</v>
      </c>
      <c r="D5968" t="s">
        <v>4</v>
      </c>
    </row>
    <row r="5969" spans="1:4" outlineLevel="1" x14ac:dyDescent="0.25">
      <c r="A5969" t="s">
        <v>701</v>
      </c>
      <c r="B5969" t="s">
        <v>3</v>
      </c>
      <c r="C5969" s="1" t="str">
        <f>HYPERLINK("http://продеталь.рф/search.html?article=203278052","203278052")</f>
        <v>203278052</v>
      </c>
      <c r="D5969" t="s">
        <v>4</v>
      </c>
    </row>
    <row r="5970" spans="1:4" outlineLevel="1" x14ac:dyDescent="0.25">
      <c r="A5970" t="s">
        <v>701</v>
      </c>
      <c r="B5970" t="s">
        <v>3</v>
      </c>
      <c r="C5970" s="1" t="str">
        <f>HYPERLINK("http://продеталь.рф/search.html?article=203277052","203277052")</f>
        <v>203277052</v>
      </c>
      <c r="D5970" t="s">
        <v>4</v>
      </c>
    </row>
    <row r="5971" spans="1:4" outlineLevel="1" x14ac:dyDescent="0.25">
      <c r="A5971" t="s">
        <v>701</v>
      </c>
      <c r="B5971" t="s">
        <v>5</v>
      </c>
      <c r="C5971" s="1" t="str">
        <f>HYPERLINK("http://продеталь.рф/search.html?article=TY11065AL","TY11065AL")</f>
        <v>TY11065AL</v>
      </c>
      <c r="D5971" t="s">
        <v>2</v>
      </c>
    </row>
    <row r="5972" spans="1:4" outlineLevel="1" x14ac:dyDescent="0.25">
      <c r="A5972" t="s">
        <v>701</v>
      </c>
      <c r="B5972" t="s">
        <v>5</v>
      </c>
      <c r="C5972" s="1" t="str">
        <f>HYPERLINK("http://продеталь.рф/search.html?article=TY11065AR","TY11065AR")</f>
        <v>TY11065AR</v>
      </c>
      <c r="D5972" t="s">
        <v>99</v>
      </c>
    </row>
    <row r="5973" spans="1:4" outlineLevel="1" x14ac:dyDescent="0.25">
      <c r="A5973" t="s">
        <v>701</v>
      </c>
      <c r="B5973" t="s">
        <v>28</v>
      </c>
      <c r="C5973" s="1" t="str">
        <f>HYPERLINK("http://продеталь.рф/search.html?article=RA64832","RA64832")</f>
        <v>RA64832</v>
      </c>
      <c r="D5973" t="s">
        <v>6</v>
      </c>
    </row>
    <row r="5974" spans="1:4" outlineLevel="1" x14ac:dyDescent="0.25">
      <c r="A5974" t="s">
        <v>701</v>
      </c>
      <c r="B5974" t="s">
        <v>12</v>
      </c>
      <c r="C5974" s="1" t="str">
        <f>HYPERLINK("http://продеталь.рф/search.html?article=TY26009304000","TY26009304000")</f>
        <v>TY26009304000</v>
      </c>
      <c r="D5974" t="s">
        <v>9</v>
      </c>
    </row>
    <row r="5975" spans="1:4" outlineLevel="1" x14ac:dyDescent="0.25">
      <c r="A5975" t="s">
        <v>701</v>
      </c>
      <c r="B5975" t="s">
        <v>12</v>
      </c>
      <c r="C5975" s="1" t="str">
        <f>HYPERLINK("http://продеталь.рф/search.html?article=TY26093G0","TY26093G0")</f>
        <v>TY26093G0</v>
      </c>
      <c r="D5975" t="s">
        <v>9</v>
      </c>
    </row>
    <row r="5976" spans="1:4" outlineLevel="1" x14ac:dyDescent="0.25">
      <c r="A5976" t="s">
        <v>701</v>
      </c>
      <c r="B5976" t="s">
        <v>16</v>
      </c>
      <c r="C5976" s="1" t="str">
        <f>HYPERLINK("http://продеталь.рф/search.html?article=185048052","185048052")</f>
        <v>185048052</v>
      </c>
      <c r="D5976" t="s">
        <v>4</v>
      </c>
    </row>
    <row r="5977" spans="1:4" outlineLevel="1" x14ac:dyDescent="0.25">
      <c r="A5977" t="s">
        <v>701</v>
      </c>
      <c r="B5977" t="s">
        <v>16</v>
      </c>
      <c r="C5977" s="1" t="str">
        <f>HYPERLINK("http://продеталь.рф/search.html?article=185047052","185047052")</f>
        <v>185047052</v>
      </c>
      <c r="D5977" t="s">
        <v>4</v>
      </c>
    </row>
    <row r="5978" spans="1:4" outlineLevel="1" x14ac:dyDescent="0.25">
      <c r="A5978" t="s">
        <v>701</v>
      </c>
      <c r="B5978" t="s">
        <v>16</v>
      </c>
      <c r="C5978" s="1" t="str">
        <f>HYPERLINK("http://продеталь.рф/search.html?article=185014052","185014052")</f>
        <v>185014052</v>
      </c>
      <c r="D5978" t="s">
        <v>4</v>
      </c>
    </row>
    <row r="5979" spans="1:4" outlineLevel="1" x14ac:dyDescent="0.25">
      <c r="A5979" t="s">
        <v>701</v>
      </c>
      <c r="B5979" t="s">
        <v>16</v>
      </c>
      <c r="C5979" s="1" t="str">
        <f>HYPERLINK("http://продеталь.рф/search.html?article=185013052","185013052")</f>
        <v>185013052</v>
      </c>
      <c r="D5979" t="s">
        <v>4</v>
      </c>
    </row>
    <row r="5980" spans="1:4" outlineLevel="1" x14ac:dyDescent="0.25">
      <c r="A5980" t="s">
        <v>701</v>
      </c>
      <c r="B5980" t="s">
        <v>64</v>
      </c>
      <c r="C5980" s="1" t="str">
        <f>HYPERLINK("http://продеталь.рф/search.html?article=121496006","121496006")</f>
        <v>121496006</v>
      </c>
      <c r="D5980" t="s">
        <v>4</v>
      </c>
    </row>
    <row r="5981" spans="1:4" outlineLevel="1" x14ac:dyDescent="0.25">
      <c r="A5981" t="s">
        <v>701</v>
      </c>
      <c r="B5981" t="s">
        <v>64</v>
      </c>
      <c r="C5981" s="1" t="str">
        <f>HYPERLINK("http://продеталь.рф/search.html?article=121495006","121495006")</f>
        <v>121495006</v>
      </c>
      <c r="D5981" t="s">
        <v>4</v>
      </c>
    </row>
    <row r="5982" spans="1:4" x14ac:dyDescent="0.25">
      <c r="A5982" t="s">
        <v>702</v>
      </c>
      <c r="B5982" s="2" t="s">
        <v>702</v>
      </c>
      <c r="C5982" s="2"/>
      <c r="D5982" s="2"/>
    </row>
    <row r="5983" spans="1:4" outlineLevel="1" x14ac:dyDescent="0.25">
      <c r="A5983" t="s">
        <v>702</v>
      </c>
      <c r="B5983" t="s">
        <v>11</v>
      </c>
      <c r="C5983" s="1" t="str">
        <f>HYPERLINK("http://продеталь.рф/search.html?article=TY04107BA","TY04107BA")</f>
        <v>TY04107BA</v>
      </c>
      <c r="D5983" t="s">
        <v>2</v>
      </c>
    </row>
    <row r="5984" spans="1:4" outlineLevel="1" x14ac:dyDescent="0.25">
      <c r="A5984" t="s">
        <v>702</v>
      </c>
      <c r="B5984" t="s">
        <v>1</v>
      </c>
      <c r="C5984" s="1" t="str">
        <f>HYPERLINK("http://продеталь.рф/search.html?article=TY20076A","TY20076A")</f>
        <v>TY20076A</v>
      </c>
      <c r="D5984" t="s">
        <v>2</v>
      </c>
    </row>
    <row r="5985" spans="1:4" outlineLevel="1" x14ac:dyDescent="0.25">
      <c r="A5985" t="s">
        <v>702</v>
      </c>
      <c r="B5985" t="s">
        <v>1</v>
      </c>
      <c r="C5985" s="1" t="str">
        <f>HYPERLINK("http://продеталь.рф/search.html?article=TY2700150B000","TY2700150B000")</f>
        <v>TY2700150B000</v>
      </c>
      <c r="D5985" t="s">
        <v>9</v>
      </c>
    </row>
    <row r="5986" spans="1:4" outlineLevel="1" x14ac:dyDescent="0.25">
      <c r="A5986" t="s">
        <v>702</v>
      </c>
      <c r="B5986" t="s">
        <v>1</v>
      </c>
      <c r="C5986" s="1" t="str">
        <f>HYPERLINK("http://продеталь.рф/search.html?article=TY20066A","TY20066A")</f>
        <v>TY20066A</v>
      </c>
      <c r="D5986" t="s">
        <v>2</v>
      </c>
    </row>
    <row r="5987" spans="1:4" outlineLevel="1" x14ac:dyDescent="0.25">
      <c r="A5987" t="s">
        <v>702</v>
      </c>
      <c r="B5987" t="s">
        <v>103</v>
      </c>
      <c r="C5987" s="1" t="str">
        <f>HYPERLINK("http://продеталь.рф/search.html?article=TY99035CAL","TY99035CAL")</f>
        <v>TY99035CAL</v>
      </c>
      <c r="D5987" t="s">
        <v>2</v>
      </c>
    </row>
    <row r="5988" spans="1:4" outlineLevel="1" x14ac:dyDescent="0.25">
      <c r="A5988" t="s">
        <v>702</v>
      </c>
      <c r="B5988" t="s">
        <v>103</v>
      </c>
      <c r="C5988" s="1" t="str">
        <f>HYPERLINK("http://продеталь.рф/search.html?article=TY99035CAR","TY99035CAR")</f>
        <v>TY99035CAR</v>
      </c>
      <c r="D5988" t="s">
        <v>2</v>
      </c>
    </row>
    <row r="5989" spans="1:4" outlineLevel="1" x14ac:dyDescent="0.25">
      <c r="A5989" t="s">
        <v>702</v>
      </c>
      <c r="B5989" t="s">
        <v>27</v>
      </c>
      <c r="C5989" s="1" t="str">
        <f>HYPERLINK("http://продеталь.рф/search.html?article=TY2700090A000","TY2700090A000")</f>
        <v>TY2700090A000</v>
      </c>
      <c r="D5989" t="s">
        <v>9</v>
      </c>
    </row>
    <row r="5990" spans="1:4" outlineLevel="1" x14ac:dyDescent="0.25">
      <c r="A5990" t="s">
        <v>702</v>
      </c>
      <c r="B5990" t="s">
        <v>3</v>
      </c>
      <c r="C5990" s="1" t="str">
        <f>HYPERLINK("http://продеталь.рф/search.html?article=205252082","205252082")</f>
        <v>205252082</v>
      </c>
      <c r="D5990" t="s">
        <v>4</v>
      </c>
    </row>
    <row r="5991" spans="1:4" outlineLevel="1" x14ac:dyDescent="0.25">
      <c r="A5991" t="s">
        <v>702</v>
      </c>
      <c r="B5991" t="s">
        <v>5</v>
      </c>
      <c r="C5991" s="1" t="str">
        <f>HYPERLINK("http://продеталь.рф/search.html?article=TYCRL97300L","TYCRL97300L")</f>
        <v>TYCRL97300L</v>
      </c>
      <c r="D5991" t="s">
        <v>34</v>
      </c>
    </row>
    <row r="5992" spans="1:4" outlineLevel="1" x14ac:dyDescent="0.25">
      <c r="A5992" t="s">
        <v>702</v>
      </c>
      <c r="B5992" t="s">
        <v>5</v>
      </c>
      <c r="C5992" s="1" t="str">
        <f>HYPERLINK("http://продеталь.рф/search.html?article=TYCRL97300R","TYCRL97300R")</f>
        <v>TYCRL97300R</v>
      </c>
      <c r="D5992" t="s">
        <v>34</v>
      </c>
    </row>
    <row r="5993" spans="1:4" outlineLevel="1" x14ac:dyDescent="0.25">
      <c r="A5993" t="s">
        <v>702</v>
      </c>
      <c r="B5993" t="s">
        <v>12</v>
      </c>
      <c r="C5993" s="1" t="str">
        <f>HYPERLINK("http://продеталь.рф/search.html?article=TY27093L0","TY27093L0")</f>
        <v>TY27093L0</v>
      </c>
      <c r="D5993" t="s">
        <v>9</v>
      </c>
    </row>
    <row r="5994" spans="1:4" outlineLevel="1" x14ac:dyDescent="0.25">
      <c r="A5994" t="s">
        <v>702</v>
      </c>
      <c r="B5994" t="s">
        <v>16</v>
      </c>
      <c r="C5994" s="1" t="str">
        <f>HYPERLINK("http://продеталь.рф/search.html?article=185632052","185632052")</f>
        <v>185632052</v>
      </c>
      <c r="D5994" t="s">
        <v>4</v>
      </c>
    </row>
    <row r="5995" spans="1:4" outlineLevel="1" x14ac:dyDescent="0.25">
      <c r="A5995" t="s">
        <v>702</v>
      </c>
      <c r="B5995" t="s">
        <v>16</v>
      </c>
      <c r="C5995" s="1" t="str">
        <f>HYPERLINK("http://продеталь.рф/search.html?article=185631052","185631052")</f>
        <v>185631052</v>
      </c>
      <c r="D5995" t="s">
        <v>4</v>
      </c>
    </row>
    <row r="5996" spans="1:4" x14ac:dyDescent="0.25">
      <c r="A5996" t="s">
        <v>703</v>
      </c>
      <c r="B5996" s="2" t="s">
        <v>703</v>
      </c>
      <c r="C5996" s="2"/>
      <c r="D5996" s="2"/>
    </row>
    <row r="5997" spans="1:4" outlineLevel="1" x14ac:dyDescent="0.25">
      <c r="A5997" t="s">
        <v>703</v>
      </c>
      <c r="B5997" t="s">
        <v>11</v>
      </c>
      <c r="C5997" s="1" t="str">
        <f>HYPERLINK("http://продеталь.рф/search.html?article=TY04219BA","TY04219BA")</f>
        <v>TY04219BA</v>
      </c>
      <c r="D5997" t="s">
        <v>2</v>
      </c>
    </row>
    <row r="5998" spans="1:4" outlineLevel="1" x14ac:dyDescent="0.25">
      <c r="A5998" t="s">
        <v>703</v>
      </c>
      <c r="B5998" t="s">
        <v>11</v>
      </c>
      <c r="C5998" s="1" t="str">
        <f>HYPERLINK("http://продеталь.рф/search.html?article=TY04224BA","TY04224BA")</f>
        <v>TY04224BA</v>
      </c>
      <c r="D5998" t="s">
        <v>2</v>
      </c>
    </row>
    <row r="5999" spans="1:4" outlineLevel="1" x14ac:dyDescent="0.25">
      <c r="A5999" t="s">
        <v>703</v>
      </c>
      <c r="B5999" t="s">
        <v>11</v>
      </c>
      <c r="C5999" s="1" t="str">
        <f>HYPERLINK("http://продеталь.рф/search.html?article=TY04267BA","TY04267BA")</f>
        <v>TY04267BA</v>
      </c>
      <c r="D5999" t="s">
        <v>2</v>
      </c>
    </row>
    <row r="6000" spans="1:4" outlineLevel="1" x14ac:dyDescent="0.25">
      <c r="A6000" t="s">
        <v>703</v>
      </c>
      <c r="B6000" t="s">
        <v>11</v>
      </c>
      <c r="C6000" s="1" t="str">
        <f>HYPERLINK("http://продеталь.рф/search.html?article=TC23","TC23")</f>
        <v>TC23</v>
      </c>
      <c r="D6000" t="s">
        <v>18</v>
      </c>
    </row>
    <row r="6001" spans="1:4" outlineLevel="1" x14ac:dyDescent="0.25">
      <c r="A6001" t="s">
        <v>703</v>
      </c>
      <c r="B6001" t="s">
        <v>15</v>
      </c>
      <c r="C6001" s="1" t="str">
        <f>HYPERLINK("http://продеталь.рф/search.html?article=3360026","3360026")</f>
        <v>3360026</v>
      </c>
      <c r="D6001" t="s">
        <v>4</v>
      </c>
    </row>
    <row r="6002" spans="1:4" outlineLevel="1" x14ac:dyDescent="0.25">
      <c r="A6002" t="s">
        <v>703</v>
      </c>
      <c r="B6002" t="s">
        <v>15</v>
      </c>
      <c r="C6002" s="1" t="str">
        <f>HYPERLINK("http://продеталь.рф/search.html?article=3360025","3360025")</f>
        <v>3360025</v>
      </c>
      <c r="D6002" t="s">
        <v>4</v>
      </c>
    </row>
    <row r="6003" spans="1:4" outlineLevel="1" x14ac:dyDescent="0.25">
      <c r="A6003" t="s">
        <v>703</v>
      </c>
      <c r="B6003" t="s">
        <v>15</v>
      </c>
      <c r="C6003" s="1" t="str">
        <f>HYPERLINK("http://продеталь.рф/search.html?article=VTYM1008MR","VTYM1008MR")</f>
        <v>VTYM1008MR</v>
      </c>
      <c r="D6003" t="s">
        <v>6</v>
      </c>
    </row>
    <row r="6004" spans="1:4" outlineLevel="1" x14ac:dyDescent="0.25">
      <c r="A6004" t="s">
        <v>703</v>
      </c>
      <c r="B6004" t="s">
        <v>74</v>
      </c>
      <c r="C6004" s="1" t="str">
        <f>HYPERLINK("http://продеталь.рф/search.html?article=682TYA018","682TYA018")</f>
        <v>682TYA018</v>
      </c>
      <c r="D6004" t="s">
        <v>4</v>
      </c>
    </row>
    <row r="6005" spans="1:4" outlineLevel="1" x14ac:dyDescent="0.25">
      <c r="A6005" t="s">
        <v>703</v>
      </c>
      <c r="B6005" t="s">
        <v>1</v>
      </c>
      <c r="C6005" s="1" t="str">
        <f>HYPERLINK("http://продеталь.рф/search.html?article=TY20106A","TY20106A")</f>
        <v>TY20106A</v>
      </c>
      <c r="D6005" t="s">
        <v>2</v>
      </c>
    </row>
    <row r="6006" spans="1:4" outlineLevel="1" x14ac:dyDescent="0.25">
      <c r="A6006" t="s">
        <v>703</v>
      </c>
      <c r="B6006" t="s">
        <v>24</v>
      </c>
      <c r="C6006" s="1" t="str">
        <f>HYPERLINK("http://продеталь.рф/search.html?article=TY28001600L00","TY28001600L00")</f>
        <v>TY28001600L00</v>
      </c>
      <c r="D6006" t="s">
        <v>9</v>
      </c>
    </row>
    <row r="6007" spans="1:4" outlineLevel="1" x14ac:dyDescent="0.25">
      <c r="A6007" t="s">
        <v>703</v>
      </c>
      <c r="B6007" t="s">
        <v>24</v>
      </c>
      <c r="C6007" s="1" t="str">
        <f>HYPERLINK("http://продеталь.рф/search.html?article=TY28001600R00","TY28001600R00")</f>
        <v>TY28001600R00</v>
      </c>
      <c r="D6007" t="s">
        <v>9</v>
      </c>
    </row>
    <row r="6008" spans="1:4" outlineLevel="1" x14ac:dyDescent="0.25">
      <c r="A6008" t="s">
        <v>703</v>
      </c>
      <c r="B6008" t="s">
        <v>103</v>
      </c>
      <c r="C6008" s="1" t="str">
        <f>HYPERLINK("http://продеталь.рф/search.html?article=TY99122CAR","TY99122CAR")</f>
        <v>TY99122CAR</v>
      </c>
      <c r="D6008" t="s">
        <v>2</v>
      </c>
    </row>
    <row r="6009" spans="1:4" outlineLevel="1" x14ac:dyDescent="0.25">
      <c r="A6009" t="s">
        <v>703</v>
      </c>
      <c r="B6009" t="s">
        <v>27</v>
      </c>
      <c r="C6009" s="1" t="str">
        <f>HYPERLINK("http://продеталь.рф/search.html?article=TY28000901000","TY28000901000")</f>
        <v>TY28000901000</v>
      </c>
      <c r="D6009" t="s">
        <v>9</v>
      </c>
    </row>
    <row r="6010" spans="1:4" outlineLevel="1" x14ac:dyDescent="0.25">
      <c r="A6010" t="s">
        <v>703</v>
      </c>
      <c r="B6010" t="s">
        <v>3</v>
      </c>
      <c r="C6010" s="1" t="str">
        <f>HYPERLINK("http://продеталь.рф/search.html?article=200266052","200266052")</f>
        <v>200266052</v>
      </c>
      <c r="D6010" t="s">
        <v>4</v>
      </c>
    </row>
    <row r="6011" spans="1:4" outlineLevel="1" x14ac:dyDescent="0.25">
      <c r="A6011" t="s">
        <v>703</v>
      </c>
      <c r="B6011" t="s">
        <v>3</v>
      </c>
      <c r="C6011" s="1" t="str">
        <f>HYPERLINK("http://продеталь.рф/search.html?article=200265052","200265052")</f>
        <v>200265052</v>
      </c>
      <c r="D6011" t="s">
        <v>4</v>
      </c>
    </row>
    <row r="6012" spans="1:4" outlineLevel="1" x14ac:dyDescent="0.25">
      <c r="A6012" t="s">
        <v>703</v>
      </c>
      <c r="B6012" t="s">
        <v>3</v>
      </c>
      <c r="C6012" s="1" t="str">
        <f>HYPERLINK("http://продеталь.рф/search.html?article=200241052","200241052")</f>
        <v>200241052</v>
      </c>
      <c r="D6012" t="s">
        <v>4</v>
      </c>
    </row>
    <row r="6013" spans="1:4" outlineLevel="1" x14ac:dyDescent="0.25">
      <c r="A6013" t="s">
        <v>703</v>
      </c>
      <c r="B6013" t="s">
        <v>3</v>
      </c>
      <c r="C6013" s="1" t="str">
        <f>HYPERLINK("http://продеталь.рф/search.html?article=20B052052B","20B052052B")</f>
        <v>20B052052B</v>
      </c>
      <c r="D6013" t="s">
        <v>4</v>
      </c>
    </row>
    <row r="6014" spans="1:4" outlineLevel="1" x14ac:dyDescent="0.25">
      <c r="A6014" t="s">
        <v>703</v>
      </c>
      <c r="B6014" t="s">
        <v>3</v>
      </c>
      <c r="C6014" s="1" t="str">
        <f>HYPERLINK("http://продеталь.рф/search.html?article=20B051052B","20B051052B")</f>
        <v>20B051052B</v>
      </c>
      <c r="D6014" t="s">
        <v>4</v>
      </c>
    </row>
    <row r="6015" spans="1:4" outlineLevel="1" x14ac:dyDescent="0.25">
      <c r="A6015" t="s">
        <v>703</v>
      </c>
      <c r="B6015" t="s">
        <v>5</v>
      </c>
      <c r="C6015" s="1" t="str">
        <f>HYPERLINK("http://продеталь.рф/search.html?article=212331","212331")</f>
        <v>212331</v>
      </c>
      <c r="D6015" t="s">
        <v>21</v>
      </c>
    </row>
    <row r="6016" spans="1:4" outlineLevel="1" x14ac:dyDescent="0.25">
      <c r="A6016" t="s">
        <v>703</v>
      </c>
      <c r="B6016" t="s">
        <v>5</v>
      </c>
      <c r="C6016" s="1" t="str">
        <f>HYPERLINK("http://продеталь.рф/search.html?article=212332","212332")</f>
        <v>212332</v>
      </c>
      <c r="D6016" t="s">
        <v>21</v>
      </c>
    </row>
    <row r="6017" spans="1:4" outlineLevel="1" x14ac:dyDescent="0.25">
      <c r="A6017" t="s">
        <v>703</v>
      </c>
      <c r="B6017" t="s">
        <v>5</v>
      </c>
      <c r="C6017" s="1" t="str">
        <f>HYPERLINK("http://продеталь.рф/search.html?article=212325","212325")</f>
        <v>212325</v>
      </c>
      <c r="D6017" t="s">
        <v>21</v>
      </c>
    </row>
    <row r="6018" spans="1:4" outlineLevel="1" x14ac:dyDescent="0.25">
      <c r="A6018" t="s">
        <v>703</v>
      </c>
      <c r="B6018" t="s">
        <v>19</v>
      </c>
      <c r="C6018" s="1" t="str">
        <f>HYPERLINK("http://продеталь.рф/search.html?article=190482012","190482012")</f>
        <v>190482012</v>
      </c>
      <c r="D6018" t="s">
        <v>4</v>
      </c>
    </row>
    <row r="6019" spans="1:4" outlineLevel="1" x14ac:dyDescent="0.25">
      <c r="A6019" t="s">
        <v>703</v>
      </c>
      <c r="B6019" t="s">
        <v>19</v>
      </c>
      <c r="C6019" s="1" t="str">
        <f>HYPERLINK("http://продеталь.рф/search.html?article=190481012","190481012")</f>
        <v>190481012</v>
      </c>
      <c r="D6019" t="s">
        <v>4</v>
      </c>
    </row>
    <row r="6020" spans="1:4" outlineLevel="1" x14ac:dyDescent="0.25">
      <c r="A6020" t="s">
        <v>703</v>
      </c>
      <c r="B6020" t="s">
        <v>30</v>
      </c>
      <c r="C6020" s="1" t="str">
        <f>HYPERLINK("http://продеталь.рф/search.html?article=PTY99064CAL","PTY99064CAL")</f>
        <v>PTY99064CAL</v>
      </c>
      <c r="D6020" t="s">
        <v>6</v>
      </c>
    </row>
    <row r="6021" spans="1:4" outlineLevel="1" x14ac:dyDescent="0.25">
      <c r="A6021" t="s">
        <v>703</v>
      </c>
      <c r="B6021" t="s">
        <v>30</v>
      </c>
      <c r="C6021" s="1" t="str">
        <f>HYPERLINK("http://продеталь.рф/search.html?article=PTY99064CAR","PTY99064CAR")</f>
        <v>PTY99064CAR</v>
      </c>
      <c r="D6021" t="s">
        <v>6</v>
      </c>
    </row>
    <row r="6022" spans="1:4" outlineLevel="1" x14ac:dyDescent="0.25">
      <c r="A6022" t="s">
        <v>703</v>
      </c>
      <c r="B6022" t="s">
        <v>39</v>
      </c>
      <c r="C6022" s="1" t="str">
        <f>HYPERLINK("http://продеталь.рф/search.html?article=AFT102","AFT102")</f>
        <v>AFT102</v>
      </c>
      <c r="D6022" t="s">
        <v>6</v>
      </c>
    </row>
    <row r="6023" spans="1:4" outlineLevel="1" x14ac:dyDescent="0.25">
      <c r="A6023" t="s">
        <v>703</v>
      </c>
      <c r="B6023" t="s">
        <v>12</v>
      </c>
      <c r="C6023" s="1" t="str">
        <f>HYPERLINK("http://продеталь.рф/search.html?article=TY28093A0","TY28093A0")</f>
        <v>TY28093A0</v>
      </c>
      <c r="D6023" t="s">
        <v>9</v>
      </c>
    </row>
    <row r="6024" spans="1:4" outlineLevel="1" x14ac:dyDescent="0.25">
      <c r="A6024" t="s">
        <v>703</v>
      </c>
      <c r="B6024" t="s">
        <v>12</v>
      </c>
      <c r="C6024" s="1" t="str">
        <f>HYPERLINK("http://продеталь.рф/search.html?article=TY280930","TY280930")</f>
        <v>TY280930</v>
      </c>
      <c r="D6024" t="s">
        <v>9</v>
      </c>
    </row>
    <row r="6025" spans="1:4" outlineLevel="1" x14ac:dyDescent="0.25">
      <c r="A6025" t="s">
        <v>703</v>
      </c>
      <c r="B6025" t="s">
        <v>71</v>
      </c>
      <c r="C6025" s="1" t="str">
        <f>HYPERLINK("http://продеталь.рф/search.html?article=TY05032VALN","TY05032VALN")</f>
        <v>TY05032VALN</v>
      </c>
      <c r="D6025" t="s">
        <v>2</v>
      </c>
    </row>
    <row r="6026" spans="1:4" outlineLevel="1" x14ac:dyDescent="0.25">
      <c r="A6026" t="s">
        <v>703</v>
      </c>
      <c r="B6026" t="s">
        <v>71</v>
      </c>
      <c r="C6026" s="1" t="str">
        <f>HYPERLINK("http://продеталь.рф/search.html?article=TY05032VARN","TY05032VARN")</f>
        <v>TY05032VARN</v>
      </c>
      <c r="D6026" t="s">
        <v>2</v>
      </c>
    </row>
    <row r="6027" spans="1:4" outlineLevel="1" x14ac:dyDescent="0.25">
      <c r="A6027" t="s">
        <v>703</v>
      </c>
      <c r="B6027" t="s">
        <v>13</v>
      </c>
      <c r="C6027" s="1" t="str">
        <f>HYPERLINK("http://продеталь.рф/search.html?article=TY44310A","TY44310A")</f>
        <v>TY44310A</v>
      </c>
      <c r="D6027" t="s">
        <v>2</v>
      </c>
    </row>
    <row r="6028" spans="1:4" x14ac:dyDescent="0.25">
      <c r="A6028" t="s">
        <v>704</v>
      </c>
      <c r="B6028" s="2" t="s">
        <v>704</v>
      </c>
      <c r="C6028" s="2"/>
      <c r="D6028" s="2"/>
    </row>
    <row r="6029" spans="1:4" outlineLevel="1" x14ac:dyDescent="0.25">
      <c r="A6029" t="s">
        <v>704</v>
      </c>
      <c r="B6029" t="s">
        <v>11</v>
      </c>
      <c r="C6029" s="1" t="str">
        <f>HYPERLINK("http://продеталь.рф/search.html?article=TY28100001100","TY28100001100")</f>
        <v>TY28100001100</v>
      </c>
      <c r="D6029" t="s">
        <v>9</v>
      </c>
    </row>
    <row r="6030" spans="1:4" outlineLevel="1" x14ac:dyDescent="0.25">
      <c r="A6030" t="s">
        <v>704</v>
      </c>
      <c r="B6030" t="s">
        <v>11</v>
      </c>
      <c r="C6030" s="1" t="str">
        <f>HYPERLINK("http://продеталь.рф/search.html?article=TY28100004000","TY28100004000")</f>
        <v>TY28100004000</v>
      </c>
      <c r="D6030" t="s">
        <v>9</v>
      </c>
    </row>
    <row r="6031" spans="1:4" outlineLevel="1" x14ac:dyDescent="0.25">
      <c r="A6031" t="s">
        <v>704</v>
      </c>
      <c r="B6031" t="s">
        <v>11</v>
      </c>
      <c r="C6031" s="1" t="str">
        <f>HYPERLINK("http://продеталь.рф/search.html?article=TY04308BA6","TY04308BA6")</f>
        <v>TY04308BA6</v>
      </c>
      <c r="D6031" t="s">
        <v>2</v>
      </c>
    </row>
    <row r="6032" spans="1:4" outlineLevel="1" x14ac:dyDescent="0.25">
      <c r="A6032" t="s">
        <v>704</v>
      </c>
      <c r="B6032" t="s">
        <v>79</v>
      </c>
      <c r="C6032" s="1" t="str">
        <f>HYPERLINK("http://продеталь.рф/search.html?article=RDTY34002","RDTY34002")</f>
        <v>RDTY34002</v>
      </c>
      <c r="D6032" t="s">
        <v>6</v>
      </c>
    </row>
    <row r="6033" spans="1:4" outlineLevel="1" x14ac:dyDescent="0.25">
      <c r="A6033" t="s">
        <v>704</v>
      </c>
      <c r="B6033" t="s">
        <v>35</v>
      </c>
      <c r="C6033" s="1" t="str">
        <f>HYPERLINK("http://продеталь.рф/search.html?article=PTY60029A","PTY60029A")</f>
        <v>PTY60029A</v>
      </c>
      <c r="D6033" t="s">
        <v>6</v>
      </c>
    </row>
    <row r="6034" spans="1:4" outlineLevel="1" x14ac:dyDescent="0.25">
      <c r="A6034" t="s">
        <v>704</v>
      </c>
      <c r="B6034" t="s">
        <v>84</v>
      </c>
      <c r="C6034" s="1" t="str">
        <f>HYPERLINK("http://продеталь.рф/search.html?article=PTY43416AR","PTY43416AR")</f>
        <v>PTY43416AR</v>
      </c>
      <c r="D6034" t="s">
        <v>6</v>
      </c>
    </row>
    <row r="6035" spans="1:4" outlineLevel="1" x14ac:dyDescent="0.25">
      <c r="A6035" t="s">
        <v>704</v>
      </c>
      <c r="B6035" t="s">
        <v>84</v>
      </c>
      <c r="C6035" s="1" t="str">
        <f>HYPERLINK("http://продеталь.рф/search.html?article=TY281000U1L00","TY281000U1L00")</f>
        <v>TY281000U1L00</v>
      </c>
      <c r="D6035" t="s">
        <v>9</v>
      </c>
    </row>
    <row r="6036" spans="1:4" outlineLevel="1" x14ac:dyDescent="0.25">
      <c r="A6036" t="s">
        <v>704</v>
      </c>
      <c r="B6036" t="s">
        <v>84</v>
      </c>
      <c r="C6036" s="1" t="str">
        <f>HYPERLINK("http://продеталь.рф/search.html?article=TY281000U1R00","TY281000U1R00")</f>
        <v>TY281000U1R00</v>
      </c>
      <c r="D6036" t="s">
        <v>9</v>
      </c>
    </row>
    <row r="6037" spans="1:4" outlineLevel="1" x14ac:dyDescent="0.25">
      <c r="A6037" t="s">
        <v>704</v>
      </c>
      <c r="B6037" t="s">
        <v>24</v>
      </c>
      <c r="C6037" s="1" t="str">
        <f>HYPERLINK("http://продеталь.рф/search.html?article=TY10242AL","TY10242AL")</f>
        <v>TY10242AL</v>
      </c>
      <c r="D6037" t="s">
        <v>2</v>
      </c>
    </row>
    <row r="6038" spans="1:4" outlineLevel="1" x14ac:dyDescent="0.25">
      <c r="A6038" t="s">
        <v>704</v>
      </c>
      <c r="B6038" t="s">
        <v>103</v>
      </c>
      <c r="C6038" s="1" t="str">
        <f>HYPERLINK("http://продеталь.рф/search.html?article=TY281000G2L00","TY281000G2L00")</f>
        <v>TY281000G2L00</v>
      </c>
      <c r="D6038" t="s">
        <v>9</v>
      </c>
    </row>
    <row r="6039" spans="1:4" outlineLevel="1" x14ac:dyDescent="0.25">
      <c r="A6039" t="s">
        <v>704</v>
      </c>
      <c r="B6039" t="s">
        <v>103</v>
      </c>
      <c r="C6039" s="1" t="str">
        <f>HYPERLINK("http://продеталь.рф/search.html?article=TY99088CAL","TY99088CAL")</f>
        <v>TY99088CAL</v>
      </c>
      <c r="D6039" t="s">
        <v>2</v>
      </c>
    </row>
    <row r="6040" spans="1:4" outlineLevel="1" x14ac:dyDescent="0.25">
      <c r="A6040" t="s">
        <v>704</v>
      </c>
      <c r="B6040" t="s">
        <v>51</v>
      </c>
      <c r="C6040" s="1" t="str">
        <f>HYPERLINK("http://продеталь.рф/search.html?article=PTY30120AW","PTY30120AW")</f>
        <v>PTY30120AW</v>
      </c>
      <c r="D6040" t="s">
        <v>6</v>
      </c>
    </row>
    <row r="6041" spans="1:4" outlineLevel="1" x14ac:dyDescent="0.25">
      <c r="A6041" t="s">
        <v>704</v>
      </c>
      <c r="B6041" t="s">
        <v>27</v>
      </c>
      <c r="C6041" s="1" t="str">
        <f>HYPERLINK("http://продеталь.рф/search.html?article=TY28100900000","TY28100900000")</f>
        <v>TY28100900000</v>
      </c>
      <c r="D6041" t="s">
        <v>9</v>
      </c>
    </row>
    <row r="6042" spans="1:4" outlineLevel="1" x14ac:dyDescent="0.25">
      <c r="A6042" t="s">
        <v>704</v>
      </c>
      <c r="B6042" t="s">
        <v>3</v>
      </c>
      <c r="C6042" s="1" t="str">
        <f>HYPERLINK("http://продеталь.рф/search.html?article=20B152056B","20B152056B")</f>
        <v>20B152056B</v>
      </c>
      <c r="D6042" t="s">
        <v>4</v>
      </c>
    </row>
    <row r="6043" spans="1:4" outlineLevel="1" x14ac:dyDescent="0.25">
      <c r="A6043" t="s">
        <v>704</v>
      </c>
      <c r="B6043" t="s">
        <v>3</v>
      </c>
      <c r="C6043" s="1" t="str">
        <f>HYPERLINK("http://продеталь.рф/search.html?article=209196051A","209196051A")</f>
        <v>209196051A</v>
      </c>
      <c r="D6043" t="s">
        <v>4</v>
      </c>
    </row>
    <row r="6044" spans="1:4" outlineLevel="1" x14ac:dyDescent="0.25">
      <c r="A6044" t="s">
        <v>704</v>
      </c>
      <c r="B6044" t="s">
        <v>3</v>
      </c>
      <c r="C6044" s="1" t="str">
        <f>HYPERLINK("http://продеталь.рф/search.html?article=209195051A","209195051A")</f>
        <v>209195051A</v>
      </c>
      <c r="D6044" t="s">
        <v>4</v>
      </c>
    </row>
    <row r="6045" spans="1:4" outlineLevel="1" x14ac:dyDescent="0.25">
      <c r="A6045" t="s">
        <v>704</v>
      </c>
      <c r="B6045" t="s">
        <v>3</v>
      </c>
      <c r="C6045" s="1" t="str">
        <f>HYPERLINK("http://продеталь.рф/search.html?article=209195A01A","209195A01A")</f>
        <v>209195A01A</v>
      </c>
      <c r="D6045" t="s">
        <v>4</v>
      </c>
    </row>
    <row r="6046" spans="1:4" outlineLevel="1" x14ac:dyDescent="0.25">
      <c r="A6046" t="s">
        <v>704</v>
      </c>
      <c r="B6046" t="s">
        <v>3</v>
      </c>
      <c r="C6046" s="1" t="str">
        <f>HYPERLINK("http://продеталь.рф/search.html?article=209196A01A","209196A01A")</f>
        <v>209196A01A</v>
      </c>
      <c r="D6046" t="s">
        <v>4</v>
      </c>
    </row>
    <row r="6047" spans="1:4" outlineLevel="1" x14ac:dyDescent="0.25">
      <c r="A6047" t="s">
        <v>704</v>
      </c>
      <c r="B6047" t="s">
        <v>3</v>
      </c>
      <c r="C6047" s="1" t="str">
        <f>HYPERLINK("http://продеталь.рф/search.html?article=20C530A52B","20C530A52B")</f>
        <v>20C530A52B</v>
      </c>
      <c r="D6047" t="s">
        <v>4</v>
      </c>
    </row>
    <row r="6048" spans="1:4" outlineLevel="1" x14ac:dyDescent="0.25">
      <c r="A6048" t="s">
        <v>704</v>
      </c>
      <c r="B6048" t="s">
        <v>5</v>
      </c>
      <c r="C6048" s="1" t="str">
        <f>HYPERLINK("http://продеталь.рф/search.html?article=PTY11242AL","PTY11242AL")</f>
        <v>PTY11242AL</v>
      </c>
      <c r="D6048" t="s">
        <v>6</v>
      </c>
    </row>
    <row r="6049" spans="1:4" outlineLevel="1" x14ac:dyDescent="0.25">
      <c r="A6049" t="s">
        <v>704</v>
      </c>
      <c r="B6049" t="s">
        <v>5</v>
      </c>
      <c r="C6049" s="1" t="str">
        <f>HYPERLINK("http://продеталь.рф/search.html?article=TY11242BR","TY11242BR")</f>
        <v>TY11242BR</v>
      </c>
      <c r="D6049" t="s">
        <v>2</v>
      </c>
    </row>
    <row r="6050" spans="1:4" outlineLevel="1" x14ac:dyDescent="0.25">
      <c r="A6050" t="s">
        <v>704</v>
      </c>
      <c r="B6050" t="s">
        <v>28</v>
      </c>
      <c r="C6050" s="1" t="str">
        <f>HYPERLINK("http://продеталь.рф/search.html?article=613TYA218","613TYA218")</f>
        <v>613TYA218</v>
      </c>
      <c r="D6050" t="s">
        <v>4</v>
      </c>
    </row>
    <row r="6051" spans="1:4" outlineLevel="1" x14ac:dyDescent="0.25">
      <c r="A6051" t="s">
        <v>704</v>
      </c>
      <c r="B6051" t="s">
        <v>8</v>
      </c>
      <c r="C6051" s="1" t="str">
        <f>HYPERLINK("http://продеталь.рф/search.html?article=TY39094A","TY39094A")</f>
        <v>TY39094A</v>
      </c>
      <c r="D6051" t="s">
        <v>2</v>
      </c>
    </row>
    <row r="6052" spans="1:4" outlineLevel="1" x14ac:dyDescent="0.25">
      <c r="A6052" t="s">
        <v>704</v>
      </c>
      <c r="B6052" t="s">
        <v>263</v>
      </c>
      <c r="C6052" s="1" t="str">
        <f>HYPERLINK("http://продеталь.рф/search.html?article=PTY30120AL","PTY30120AL")</f>
        <v>PTY30120AL</v>
      </c>
      <c r="D6052" t="s">
        <v>6</v>
      </c>
    </row>
    <row r="6053" spans="1:4" outlineLevel="1" x14ac:dyDescent="0.25">
      <c r="A6053" t="s">
        <v>704</v>
      </c>
      <c r="B6053" t="s">
        <v>30</v>
      </c>
      <c r="C6053" s="1" t="str">
        <f>HYPERLINK("http://продеталь.рф/search.html?article=TY281000G3L00","TY281000G3L00")</f>
        <v>TY281000G3L00</v>
      </c>
      <c r="D6053" t="s">
        <v>9</v>
      </c>
    </row>
    <row r="6054" spans="1:4" outlineLevel="1" x14ac:dyDescent="0.25">
      <c r="A6054" t="s">
        <v>704</v>
      </c>
      <c r="B6054" t="s">
        <v>12</v>
      </c>
      <c r="C6054" s="1" t="str">
        <f>HYPERLINK("http://продеталь.рф/search.html?article=TY07480GA","TY07480GA")</f>
        <v>TY07480GA</v>
      </c>
      <c r="D6054" t="s">
        <v>2</v>
      </c>
    </row>
    <row r="6055" spans="1:4" outlineLevel="1" x14ac:dyDescent="0.25">
      <c r="A6055" t="s">
        <v>704</v>
      </c>
      <c r="B6055" t="s">
        <v>12</v>
      </c>
      <c r="C6055" s="1" t="str">
        <f>HYPERLINK("http://продеталь.рф/search.html?article=TY07481GA","TY07481GA")</f>
        <v>TY07481GA</v>
      </c>
      <c r="D6055" t="s">
        <v>2</v>
      </c>
    </row>
    <row r="6056" spans="1:4" x14ac:dyDescent="0.25">
      <c r="A6056" t="s">
        <v>705</v>
      </c>
      <c r="B6056" s="2" t="s">
        <v>705</v>
      </c>
      <c r="C6056" s="2"/>
      <c r="D6056" s="2"/>
    </row>
    <row r="6057" spans="1:4" outlineLevel="1" x14ac:dyDescent="0.25">
      <c r="A6057" t="s">
        <v>705</v>
      </c>
      <c r="B6057" t="s">
        <v>147</v>
      </c>
      <c r="C6057" s="1" t="str">
        <f>HYPERLINK("http://продеталь.рф/search.html?article=ZTY1501L","ZTY1501L")</f>
        <v>ZTY1501L</v>
      </c>
      <c r="D6057" t="s">
        <v>6</v>
      </c>
    </row>
    <row r="6058" spans="1:4" x14ac:dyDescent="0.25">
      <c r="A6058" t="s">
        <v>706</v>
      </c>
      <c r="B6058" s="2" t="s">
        <v>706</v>
      </c>
      <c r="C6058" s="2"/>
      <c r="D6058" s="2"/>
    </row>
    <row r="6059" spans="1:4" outlineLevel="1" x14ac:dyDescent="0.25">
      <c r="A6059" t="s">
        <v>706</v>
      </c>
      <c r="B6059" t="s">
        <v>45</v>
      </c>
      <c r="C6059" s="1" t="str">
        <f>HYPERLINK("http://продеталь.рф/search.html?article=8110581","8110581")</f>
        <v>8110581</v>
      </c>
      <c r="D6059" t="s">
        <v>46</v>
      </c>
    </row>
    <row r="6060" spans="1:4" outlineLevel="1" x14ac:dyDescent="0.25">
      <c r="A6060" t="s">
        <v>706</v>
      </c>
      <c r="B6060" t="s">
        <v>45</v>
      </c>
      <c r="C6060" s="1" t="str">
        <f>HYPERLINK("http://продеталь.рф/search.html?article=8110582","8110582")</f>
        <v>8110582</v>
      </c>
      <c r="D6060" t="s">
        <v>46</v>
      </c>
    </row>
    <row r="6061" spans="1:4" outlineLevel="1" x14ac:dyDescent="0.25">
      <c r="A6061" t="s">
        <v>706</v>
      </c>
      <c r="B6061" t="s">
        <v>1</v>
      </c>
      <c r="C6061" s="1" t="str">
        <f>HYPERLINK("http://продеталь.рф/search.html?article=TY20057A","TY20057A")</f>
        <v>TY20057A</v>
      </c>
      <c r="D6061" t="s">
        <v>2</v>
      </c>
    </row>
    <row r="6062" spans="1:4" outlineLevel="1" x14ac:dyDescent="0.25">
      <c r="A6062" t="s">
        <v>706</v>
      </c>
      <c r="B6062" t="s">
        <v>1</v>
      </c>
      <c r="C6062" s="1" t="str">
        <f>HYPERLINK("http://продеталь.рф/search.html?article=TY20034A","TY20034A")</f>
        <v>TY20034A</v>
      </c>
      <c r="D6062" t="s">
        <v>2</v>
      </c>
    </row>
    <row r="6063" spans="1:4" outlineLevel="1" x14ac:dyDescent="0.25">
      <c r="A6063" t="s">
        <v>706</v>
      </c>
      <c r="B6063" t="s">
        <v>24</v>
      </c>
      <c r="C6063" s="1" t="str">
        <f>HYPERLINK("http://продеталь.рф/search.html?article=TY25016G1","TY25016G1")</f>
        <v>TY25016G1</v>
      </c>
      <c r="D6063" t="s">
        <v>9</v>
      </c>
    </row>
    <row r="6064" spans="1:4" outlineLevel="1" x14ac:dyDescent="0.25">
      <c r="A6064" t="s">
        <v>706</v>
      </c>
      <c r="B6064" t="s">
        <v>24</v>
      </c>
      <c r="C6064" s="1" t="str">
        <f>HYPERLINK("http://продеталь.рф/search.html?article=TY10048AL","TY10048AL")</f>
        <v>TY10048AL</v>
      </c>
      <c r="D6064" t="s">
        <v>2</v>
      </c>
    </row>
    <row r="6065" spans="1:4" outlineLevel="1" x14ac:dyDescent="0.25">
      <c r="A6065" t="s">
        <v>706</v>
      </c>
      <c r="B6065" t="s">
        <v>24</v>
      </c>
      <c r="C6065" s="1" t="str">
        <f>HYPERLINK("http://продеталь.рф/search.html?article=TY25016G2","TY25016G2")</f>
        <v>TY25016G2</v>
      </c>
      <c r="D6065" t="s">
        <v>9</v>
      </c>
    </row>
    <row r="6066" spans="1:4" outlineLevel="1" x14ac:dyDescent="0.25">
      <c r="A6066" t="s">
        <v>706</v>
      </c>
      <c r="B6066" t="s">
        <v>3</v>
      </c>
      <c r="C6066" s="1" t="str">
        <f>HYPERLINK("http://продеталь.рф/search.html?article=201653052","201653052")</f>
        <v>201653052</v>
      </c>
      <c r="D6066" t="s">
        <v>4</v>
      </c>
    </row>
    <row r="6067" spans="1:4" outlineLevel="1" x14ac:dyDescent="0.25">
      <c r="A6067" t="s">
        <v>706</v>
      </c>
      <c r="B6067" t="s">
        <v>3</v>
      </c>
      <c r="C6067" s="1" t="str">
        <f>HYPERLINK("http://продеталь.рф/search.html?article=201652052","201652052")</f>
        <v>201652052</v>
      </c>
      <c r="D6067" t="s">
        <v>4</v>
      </c>
    </row>
    <row r="6068" spans="1:4" outlineLevel="1" x14ac:dyDescent="0.25">
      <c r="A6068" t="s">
        <v>706</v>
      </c>
      <c r="B6068" t="s">
        <v>3</v>
      </c>
      <c r="C6068" s="1" t="str">
        <f>HYPERLINK("http://продеталь.рф/search.html?article=203320052","203320052")</f>
        <v>203320052</v>
      </c>
      <c r="D6068" t="s">
        <v>4</v>
      </c>
    </row>
    <row r="6069" spans="1:4" outlineLevel="1" x14ac:dyDescent="0.25">
      <c r="A6069" t="s">
        <v>706</v>
      </c>
      <c r="B6069" t="s">
        <v>3</v>
      </c>
      <c r="C6069" s="1" t="str">
        <f>HYPERLINK("http://продеталь.рф/search.html?article=203319052","203319052")</f>
        <v>203319052</v>
      </c>
      <c r="D6069" t="s">
        <v>4</v>
      </c>
    </row>
    <row r="6070" spans="1:4" outlineLevel="1" x14ac:dyDescent="0.25">
      <c r="A6070" t="s">
        <v>706</v>
      </c>
      <c r="B6070" t="s">
        <v>5</v>
      </c>
      <c r="C6070" s="1" t="str">
        <f>HYPERLINK("http://продеталь.рф/search.html?article=TY11071AL","TY11071AL")</f>
        <v>TY11071AL</v>
      </c>
      <c r="D6070" t="s">
        <v>2</v>
      </c>
    </row>
    <row r="6071" spans="1:4" outlineLevel="1" x14ac:dyDescent="0.25">
      <c r="A6071" t="s">
        <v>706</v>
      </c>
      <c r="B6071" t="s">
        <v>5</v>
      </c>
      <c r="C6071" s="1" t="str">
        <f>HYPERLINK("http://продеталь.рф/search.html?article=TY11071AR","TY11071AR")</f>
        <v>TY11071AR</v>
      </c>
      <c r="D6071" t="s">
        <v>2</v>
      </c>
    </row>
    <row r="6072" spans="1:4" outlineLevel="1" x14ac:dyDescent="0.25">
      <c r="A6072" t="s">
        <v>706</v>
      </c>
      <c r="B6072" t="s">
        <v>54</v>
      </c>
      <c r="C6072" s="1" t="str">
        <f>HYPERLINK("http://продеталь.рф/search.html?article=8110011","8110011")</f>
        <v>8110011</v>
      </c>
      <c r="D6072" t="s">
        <v>46</v>
      </c>
    </row>
    <row r="6073" spans="1:4" outlineLevel="1" x14ac:dyDescent="0.25">
      <c r="A6073" t="s">
        <v>706</v>
      </c>
      <c r="B6073" t="s">
        <v>12</v>
      </c>
      <c r="C6073" s="1" t="str">
        <f>HYPERLINK("http://продеталь.рф/search.html?article=TY07105GA","TY07105GA")</f>
        <v>TY07105GA</v>
      </c>
      <c r="D6073" t="s">
        <v>2</v>
      </c>
    </row>
    <row r="6074" spans="1:4" outlineLevel="1" x14ac:dyDescent="0.25">
      <c r="A6074" t="s">
        <v>706</v>
      </c>
      <c r="B6074" t="s">
        <v>12</v>
      </c>
      <c r="C6074" s="1" t="str">
        <f>HYPERLINK("http://продеталь.рф/search.html?article=TY25093D0","TY25093D0")</f>
        <v>TY25093D0</v>
      </c>
      <c r="D6074" t="s">
        <v>9</v>
      </c>
    </row>
    <row r="6075" spans="1:4" outlineLevel="1" x14ac:dyDescent="0.25">
      <c r="A6075" t="s">
        <v>706</v>
      </c>
      <c r="B6075" t="s">
        <v>16</v>
      </c>
      <c r="C6075" s="1" t="str">
        <f>HYPERLINK("http://продеталь.рф/search.html?article=181872052","181872052")</f>
        <v>181872052</v>
      </c>
      <c r="D6075" t="s">
        <v>4</v>
      </c>
    </row>
    <row r="6076" spans="1:4" outlineLevel="1" x14ac:dyDescent="0.25">
      <c r="A6076" t="s">
        <v>706</v>
      </c>
      <c r="B6076" t="s">
        <v>16</v>
      </c>
      <c r="C6076" s="1" t="str">
        <f>HYPERLINK("http://продеталь.рф/search.html?article=183310052","183310052")</f>
        <v>183310052</v>
      </c>
      <c r="D6076" t="s">
        <v>4</v>
      </c>
    </row>
    <row r="6077" spans="1:4" outlineLevel="1" x14ac:dyDescent="0.25">
      <c r="A6077" t="s">
        <v>706</v>
      </c>
      <c r="B6077" t="s">
        <v>16</v>
      </c>
      <c r="C6077" s="1" t="str">
        <f>HYPERLINK("http://продеталь.рф/search.html?article=183309052","183309052")</f>
        <v>183309052</v>
      </c>
      <c r="D6077" t="s">
        <v>4</v>
      </c>
    </row>
    <row r="6078" spans="1:4" x14ac:dyDescent="0.25">
      <c r="A6078" t="s">
        <v>707</v>
      </c>
      <c r="B6078" s="2" t="s">
        <v>707</v>
      </c>
      <c r="C6078" s="2"/>
      <c r="D6078" s="2"/>
    </row>
    <row r="6079" spans="1:4" outlineLevel="1" x14ac:dyDescent="0.25">
      <c r="A6079" t="s">
        <v>707</v>
      </c>
      <c r="B6079" t="s">
        <v>5</v>
      </c>
      <c r="C6079" s="1" t="str">
        <f>HYPERLINK("http://продеталь.рф/search.html?article=212343","212343")</f>
        <v>212343</v>
      </c>
      <c r="D6079" t="s">
        <v>21</v>
      </c>
    </row>
    <row r="6080" spans="1:4" x14ac:dyDescent="0.25">
      <c r="A6080" t="s">
        <v>708</v>
      </c>
      <c r="B6080" s="2" t="s">
        <v>708</v>
      </c>
      <c r="C6080" s="2"/>
      <c r="D6080" s="2"/>
    </row>
    <row r="6081" spans="1:4" outlineLevel="1" x14ac:dyDescent="0.25">
      <c r="A6081" t="s">
        <v>708</v>
      </c>
      <c r="B6081" t="s">
        <v>11</v>
      </c>
      <c r="C6081" s="1" t="str">
        <f>HYPERLINK("http://продеталь.рф/search.html?article=TY04144BA","TY04144BA")</f>
        <v>TY04144BA</v>
      </c>
      <c r="D6081" t="s">
        <v>2</v>
      </c>
    </row>
    <row r="6082" spans="1:4" outlineLevel="1" x14ac:dyDescent="0.25">
      <c r="A6082" t="s">
        <v>708</v>
      </c>
      <c r="B6082" t="s">
        <v>11</v>
      </c>
      <c r="C6082" s="1" t="str">
        <f>HYPERLINK("http://продеталь.рф/search.html?article=TY04145BA","TY04145BA")</f>
        <v>TY04145BA</v>
      </c>
      <c r="D6082" t="s">
        <v>2</v>
      </c>
    </row>
    <row r="6083" spans="1:4" outlineLevel="1" x14ac:dyDescent="0.25">
      <c r="A6083" t="s">
        <v>708</v>
      </c>
      <c r="B6083" t="s">
        <v>11</v>
      </c>
      <c r="C6083" s="1" t="str">
        <f>HYPERLINK("http://продеталь.рф/search.html?article=TY04209BA","TY04209BA")</f>
        <v>TY04209BA</v>
      </c>
      <c r="D6083" t="s">
        <v>2</v>
      </c>
    </row>
    <row r="6084" spans="1:4" outlineLevel="1" x14ac:dyDescent="0.25">
      <c r="A6084" t="s">
        <v>708</v>
      </c>
      <c r="B6084" t="s">
        <v>15</v>
      </c>
      <c r="C6084" s="1" t="str">
        <f>HYPERLINK("http://продеталь.рф/search.html?article=GD9198L","GD9198L")</f>
        <v>GD9198L</v>
      </c>
      <c r="D6084" t="s">
        <v>4</v>
      </c>
    </row>
    <row r="6085" spans="1:4" outlineLevel="1" x14ac:dyDescent="0.25">
      <c r="A6085" t="s">
        <v>708</v>
      </c>
      <c r="B6085" t="s">
        <v>79</v>
      </c>
      <c r="C6085" s="1" t="str">
        <f>HYPERLINK("http://продеталь.рф/search.html?article=TYV10040","TYV10040")</f>
        <v>TYV10040</v>
      </c>
      <c r="D6085" t="s">
        <v>9</v>
      </c>
    </row>
    <row r="6086" spans="1:4" outlineLevel="1" x14ac:dyDescent="0.25">
      <c r="A6086" t="s">
        <v>708</v>
      </c>
      <c r="B6086" t="s">
        <v>1</v>
      </c>
      <c r="C6086" s="1" t="str">
        <f>HYPERLINK("http://продеталь.рф/search.html?article=TY20088A","TY20088A")</f>
        <v>TY20088A</v>
      </c>
      <c r="D6086" t="s">
        <v>99</v>
      </c>
    </row>
    <row r="6087" spans="1:4" outlineLevel="1" x14ac:dyDescent="0.25">
      <c r="A6087" t="s">
        <v>708</v>
      </c>
      <c r="B6087" t="s">
        <v>84</v>
      </c>
      <c r="C6087" s="1" t="str">
        <f>HYPERLINK("http://продеталь.рф/search.html?article=TY43263AL","TY43263AL")</f>
        <v>TY43263AL</v>
      </c>
      <c r="D6087" t="s">
        <v>2</v>
      </c>
    </row>
    <row r="6088" spans="1:4" outlineLevel="1" x14ac:dyDescent="0.25">
      <c r="A6088" t="s">
        <v>708</v>
      </c>
      <c r="B6088" t="s">
        <v>84</v>
      </c>
      <c r="C6088" s="1" t="str">
        <f>HYPERLINK("http://продеталь.рф/search.html?article=TY43263AR","TY43263AR")</f>
        <v>TY43263AR</v>
      </c>
      <c r="D6088" t="s">
        <v>2</v>
      </c>
    </row>
    <row r="6089" spans="1:4" outlineLevel="1" x14ac:dyDescent="0.25">
      <c r="A6089" t="s">
        <v>708</v>
      </c>
      <c r="B6089" t="s">
        <v>84</v>
      </c>
      <c r="C6089" s="1" t="str">
        <f>HYPERLINK("http://продеталь.рф/search.html?article=TYV1000UA2","TYV1000UA2")</f>
        <v>TYV1000UA2</v>
      </c>
      <c r="D6089" t="s">
        <v>9</v>
      </c>
    </row>
    <row r="6090" spans="1:4" outlineLevel="1" x14ac:dyDescent="0.25">
      <c r="A6090" t="s">
        <v>708</v>
      </c>
      <c r="B6090" t="s">
        <v>24</v>
      </c>
      <c r="C6090" s="1" t="str">
        <f>HYPERLINK("http://продеталь.рф/search.html?article=TYV1016A1","TYV1016A1")</f>
        <v>TYV1016A1</v>
      </c>
      <c r="D6090" t="s">
        <v>9</v>
      </c>
    </row>
    <row r="6091" spans="1:4" outlineLevel="1" x14ac:dyDescent="0.25">
      <c r="A6091" t="s">
        <v>708</v>
      </c>
      <c r="B6091" t="s">
        <v>24</v>
      </c>
      <c r="C6091" s="1" t="str">
        <f>HYPERLINK("http://продеталь.рф/search.html?article=TY30101605L00","TY30101605L00")</f>
        <v>TY30101605L00</v>
      </c>
      <c r="D6091" t="s">
        <v>9</v>
      </c>
    </row>
    <row r="6092" spans="1:4" outlineLevel="1" x14ac:dyDescent="0.25">
      <c r="A6092" t="s">
        <v>708</v>
      </c>
      <c r="B6092" t="s">
        <v>24</v>
      </c>
      <c r="C6092" s="1" t="str">
        <f>HYPERLINK("http://продеталь.рф/search.html?article=TY30101605R00","TY30101605R00")</f>
        <v>TY30101605R00</v>
      </c>
      <c r="D6092" t="s">
        <v>9</v>
      </c>
    </row>
    <row r="6093" spans="1:4" outlineLevel="1" x14ac:dyDescent="0.25">
      <c r="A6093" t="s">
        <v>708</v>
      </c>
      <c r="B6093" t="s">
        <v>27</v>
      </c>
      <c r="C6093" s="1" t="str">
        <f>HYPERLINK("http://продеталь.рф/search.html?article=TYV1009A0","TYV1009A0")</f>
        <v>TYV1009A0</v>
      </c>
      <c r="D6093" t="s">
        <v>9</v>
      </c>
    </row>
    <row r="6094" spans="1:4" outlineLevel="1" x14ac:dyDescent="0.25">
      <c r="A6094" t="s">
        <v>708</v>
      </c>
      <c r="B6094" t="s">
        <v>3</v>
      </c>
      <c r="C6094" s="1" t="str">
        <f>HYPERLINK("http://продеталь.рф/search.html?article=205826051A","205826051A")</f>
        <v>205826051A</v>
      </c>
      <c r="D6094" t="s">
        <v>4</v>
      </c>
    </row>
    <row r="6095" spans="1:4" outlineLevel="1" x14ac:dyDescent="0.25">
      <c r="A6095" t="s">
        <v>708</v>
      </c>
      <c r="B6095" t="s">
        <v>3</v>
      </c>
      <c r="C6095" s="1" t="str">
        <f>HYPERLINK("http://продеталь.рф/search.html?article=205825051A","205825051A")</f>
        <v>205825051A</v>
      </c>
      <c r="D6095" t="s">
        <v>4</v>
      </c>
    </row>
    <row r="6096" spans="1:4" outlineLevel="1" x14ac:dyDescent="0.25">
      <c r="A6096" t="s">
        <v>708</v>
      </c>
      <c r="B6096" t="s">
        <v>3</v>
      </c>
      <c r="C6096" s="1" t="str">
        <f>HYPERLINK("http://продеталь.рф/search.html?article=206437011A","206437011A")</f>
        <v>206437011A</v>
      </c>
      <c r="D6096" t="s">
        <v>4</v>
      </c>
    </row>
    <row r="6097" spans="1:4" outlineLevel="1" x14ac:dyDescent="0.25">
      <c r="A6097" t="s">
        <v>708</v>
      </c>
      <c r="B6097" t="s">
        <v>5</v>
      </c>
      <c r="C6097" s="1" t="str">
        <f>HYPERLINK("http://продеталь.рф/search.html?article=TY11123AL","TY11123AL")</f>
        <v>TY11123AL</v>
      </c>
      <c r="D6097" t="s">
        <v>2</v>
      </c>
    </row>
    <row r="6098" spans="1:4" outlineLevel="1" x14ac:dyDescent="0.25">
      <c r="A6098" t="s">
        <v>708</v>
      </c>
      <c r="B6098" t="s">
        <v>5</v>
      </c>
      <c r="C6098" s="1" t="str">
        <f>HYPERLINK("http://продеталь.рф/search.html?article=TYV1016LA2","TYV1016LA2")</f>
        <v>TYV1016LA2</v>
      </c>
      <c r="D6098" t="s">
        <v>9</v>
      </c>
    </row>
    <row r="6099" spans="1:4" outlineLevel="1" x14ac:dyDescent="0.25">
      <c r="A6099" t="s">
        <v>708</v>
      </c>
      <c r="B6099" t="s">
        <v>5</v>
      </c>
      <c r="C6099" s="1" t="str">
        <f>HYPERLINK("http://продеталь.рф/search.html?article=TYV1016LA1","TYV1016LA1")</f>
        <v>TYV1016LA1</v>
      </c>
      <c r="D6099" t="s">
        <v>9</v>
      </c>
    </row>
    <row r="6100" spans="1:4" outlineLevel="1" x14ac:dyDescent="0.25">
      <c r="A6100" t="s">
        <v>708</v>
      </c>
      <c r="B6100" t="s">
        <v>40</v>
      </c>
      <c r="C6100" s="1" t="str">
        <f>HYPERLINK("http://продеталь.рф/search.html?article=TYV1000GA0","TYV1000GA0")</f>
        <v>TYV1000GA0</v>
      </c>
      <c r="D6100" t="s">
        <v>9</v>
      </c>
    </row>
    <row r="6101" spans="1:4" outlineLevel="1" x14ac:dyDescent="0.25">
      <c r="A6101" t="s">
        <v>708</v>
      </c>
      <c r="B6101" t="s">
        <v>12</v>
      </c>
      <c r="C6101" s="1" t="str">
        <f>HYPERLINK("http://продеталь.рф/search.html?article=TY07230GA","TY07230GA")</f>
        <v>TY07230GA</v>
      </c>
      <c r="D6101" t="s">
        <v>2</v>
      </c>
    </row>
    <row r="6102" spans="1:4" outlineLevel="1" x14ac:dyDescent="0.25">
      <c r="A6102" t="s">
        <v>708</v>
      </c>
      <c r="B6102" t="s">
        <v>12</v>
      </c>
      <c r="C6102" s="1" t="str">
        <f>HYPERLINK("http://продеталь.рф/search.html?article=TY07286GA","TY07286GA")</f>
        <v>TY07286GA</v>
      </c>
      <c r="D6102" t="s">
        <v>2</v>
      </c>
    </row>
    <row r="6103" spans="1:4" outlineLevel="1" x14ac:dyDescent="0.25">
      <c r="A6103" t="s">
        <v>708</v>
      </c>
      <c r="B6103" t="s">
        <v>13</v>
      </c>
      <c r="C6103" s="1" t="str">
        <f>HYPERLINK("http://продеталь.рф/search.html?article=TY44263A","TY44263A")</f>
        <v>TY44263A</v>
      </c>
      <c r="D6103" t="s">
        <v>2</v>
      </c>
    </row>
    <row r="6104" spans="1:4" x14ac:dyDescent="0.25">
      <c r="A6104" t="s">
        <v>709</v>
      </c>
      <c r="B6104" s="2" t="s">
        <v>709</v>
      </c>
      <c r="C6104" s="2"/>
      <c r="D6104" s="2"/>
    </row>
    <row r="6105" spans="1:4" outlineLevel="1" x14ac:dyDescent="0.25">
      <c r="A6105" t="s">
        <v>709</v>
      </c>
      <c r="B6105" t="s">
        <v>3</v>
      </c>
      <c r="C6105" s="1" t="str">
        <f>HYPERLINK("http://продеталь.рф/search.html?article=205616152","205616152")</f>
        <v>205616152</v>
      </c>
      <c r="D6105" t="s">
        <v>4</v>
      </c>
    </row>
    <row r="6106" spans="1:4" outlineLevel="1" x14ac:dyDescent="0.25">
      <c r="A6106" t="s">
        <v>709</v>
      </c>
      <c r="B6106" t="s">
        <v>3</v>
      </c>
      <c r="C6106" s="1" t="str">
        <f>HYPERLINK("http://продеталь.рф/search.html?article=205615152","205615152")</f>
        <v>205615152</v>
      </c>
      <c r="D6106" t="s">
        <v>4</v>
      </c>
    </row>
    <row r="6107" spans="1:4" x14ac:dyDescent="0.25">
      <c r="A6107" t="s">
        <v>710</v>
      </c>
      <c r="B6107" s="2" t="s">
        <v>710</v>
      </c>
      <c r="C6107" s="2"/>
      <c r="D6107" s="2"/>
    </row>
    <row r="6108" spans="1:4" outlineLevel="1" x14ac:dyDescent="0.25">
      <c r="A6108" t="s">
        <v>710</v>
      </c>
      <c r="B6108" t="s">
        <v>11</v>
      </c>
      <c r="C6108" s="1" t="str">
        <f>HYPERLINK("http://продеталь.рф/search.html?article=TY04260BA","TY04260BA")</f>
        <v>TY04260BA</v>
      </c>
      <c r="D6108" t="s">
        <v>2</v>
      </c>
    </row>
    <row r="6109" spans="1:4" outlineLevel="1" x14ac:dyDescent="0.25">
      <c r="A6109" t="s">
        <v>710</v>
      </c>
      <c r="B6109" t="s">
        <v>11</v>
      </c>
      <c r="C6109" s="1" t="str">
        <f>HYPERLINK("http://продеталь.рф/search.html?article=TY04332BA","TY04332BA")</f>
        <v>TY04332BA</v>
      </c>
      <c r="D6109" t="s">
        <v>2</v>
      </c>
    </row>
    <row r="6110" spans="1:4" outlineLevel="1" x14ac:dyDescent="0.25">
      <c r="A6110" t="s">
        <v>710</v>
      </c>
      <c r="B6110" t="s">
        <v>23</v>
      </c>
      <c r="C6110" s="1" t="str">
        <f>HYPERLINK("http://продеталь.рф/search.html?article=19593200","19593200")</f>
        <v>19593200</v>
      </c>
      <c r="D6110" t="s">
        <v>4</v>
      </c>
    </row>
    <row r="6111" spans="1:4" outlineLevel="1" x14ac:dyDescent="0.25">
      <c r="A6111" t="s">
        <v>710</v>
      </c>
      <c r="B6111" t="s">
        <v>23</v>
      </c>
      <c r="C6111" s="1" t="str">
        <f>HYPERLINK("http://продеталь.рф/search.html?article=116054011A","116054011A")</f>
        <v>116054011A</v>
      </c>
      <c r="D6111" t="s">
        <v>4</v>
      </c>
    </row>
    <row r="6112" spans="1:4" outlineLevel="1" x14ac:dyDescent="0.25">
      <c r="A6112" t="s">
        <v>710</v>
      </c>
      <c r="B6112" t="s">
        <v>1</v>
      </c>
      <c r="C6112" s="1" t="str">
        <f>HYPERLINK("http://продеталь.рф/search.html?article=TY20102A","TY20102A")</f>
        <v>TY20102A</v>
      </c>
      <c r="D6112" t="s">
        <v>2</v>
      </c>
    </row>
    <row r="6113" spans="1:4" outlineLevel="1" x14ac:dyDescent="0.25">
      <c r="A6113" t="s">
        <v>710</v>
      </c>
      <c r="B6113" t="s">
        <v>84</v>
      </c>
      <c r="C6113" s="1" t="str">
        <f>HYPERLINK("http://продеталь.рф/search.html?article=TYG1000U1","TYG1000U1")</f>
        <v>TYG1000U1</v>
      </c>
      <c r="D6113" t="s">
        <v>9</v>
      </c>
    </row>
    <row r="6114" spans="1:4" outlineLevel="1" x14ac:dyDescent="0.25">
      <c r="A6114" t="s">
        <v>710</v>
      </c>
      <c r="B6114" t="s">
        <v>24</v>
      </c>
      <c r="C6114" s="1" t="str">
        <f>HYPERLINK("http://продеталь.рф/search.html?article=TY10154AR","TY10154AR")</f>
        <v>TY10154AR</v>
      </c>
      <c r="D6114" t="s">
        <v>2</v>
      </c>
    </row>
    <row r="6115" spans="1:4" outlineLevel="1" x14ac:dyDescent="0.25">
      <c r="A6115" t="s">
        <v>710</v>
      </c>
      <c r="B6115" t="s">
        <v>27</v>
      </c>
      <c r="C6115" s="1" t="str">
        <f>HYPERLINK("http://продеталь.рф/search.html?article=TY30072A","TY30072A")</f>
        <v>TY30072A</v>
      </c>
      <c r="D6115" t="s">
        <v>2</v>
      </c>
    </row>
    <row r="6116" spans="1:4" outlineLevel="1" x14ac:dyDescent="0.25">
      <c r="A6116" t="s">
        <v>710</v>
      </c>
      <c r="B6116" t="s">
        <v>3</v>
      </c>
      <c r="C6116" s="1" t="str">
        <f>HYPERLINK("http://продеталь.рф/search.html?article=206568051A","206568051A")</f>
        <v>206568051A</v>
      </c>
      <c r="D6116" t="s">
        <v>4</v>
      </c>
    </row>
    <row r="6117" spans="1:4" outlineLevel="1" x14ac:dyDescent="0.25">
      <c r="A6117" t="s">
        <v>710</v>
      </c>
      <c r="B6117" t="s">
        <v>3</v>
      </c>
      <c r="C6117" s="1" t="str">
        <f>HYPERLINK("http://продеталь.рф/search.html?article=206174051A","206174051A")</f>
        <v>206174051A</v>
      </c>
      <c r="D6117" t="s">
        <v>4</v>
      </c>
    </row>
    <row r="6118" spans="1:4" outlineLevel="1" x14ac:dyDescent="0.25">
      <c r="A6118" t="s">
        <v>710</v>
      </c>
      <c r="B6118" t="s">
        <v>3</v>
      </c>
      <c r="C6118" s="1" t="str">
        <f>HYPERLINK("http://продеталь.рф/search.html?article=206173051A","206173051A")</f>
        <v>206173051A</v>
      </c>
      <c r="D6118" t="s">
        <v>4</v>
      </c>
    </row>
    <row r="6119" spans="1:4" outlineLevel="1" x14ac:dyDescent="0.25">
      <c r="A6119" t="s">
        <v>710</v>
      </c>
      <c r="B6119" t="s">
        <v>5</v>
      </c>
      <c r="C6119" s="1" t="str">
        <f>HYPERLINK("http://продеталь.рф/search.html?article=TYG1016L2","TYG1016L2")</f>
        <v>TYG1016L2</v>
      </c>
      <c r="D6119" t="s">
        <v>9</v>
      </c>
    </row>
    <row r="6120" spans="1:4" outlineLevel="1" x14ac:dyDescent="0.25">
      <c r="A6120" t="s">
        <v>710</v>
      </c>
      <c r="B6120" t="s">
        <v>5</v>
      </c>
      <c r="C6120" s="1" t="str">
        <f>HYPERLINK("http://продеталь.рф/search.html?article=TYG1016L1","TYG1016L1")</f>
        <v>TYG1016L1</v>
      </c>
      <c r="D6120" t="s">
        <v>9</v>
      </c>
    </row>
    <row r="6121" spans="1:4" outlineLevel="1" x14ac:dyDescent="0.25">
      <c r="A6121" t="s">
        <v>710</v>
      </c>
      <c r="B6121" t="s">
        <v>19</v>
      </c>
      <c r="C6121" s="1" t="str">
        <f>HYPERLINK("http://продеталь.рф/search.html?article=19561000","19561000")</f>
        <v>19561000</v>
      </c>
      <c r="D6121" t="s">
        <v>4</v>
      </c>
    </row>
    <row r="6122" spans="1:4" outlineLevel="1" x14ac:dyDescent="0.25">
      <c r="A6122" t="s">
        <v>710</v>
      </c>
      <c r="B6122" t="s">
        <v>19</v>
      </c>
      <c r="C6122" s="1" t="str">
        <f>HYPERLINK("http://продеталь.рф/search.html?article=19560900","19560900")</f>
        <v>19560900</v>
      </c>
      <c r="D6122" t="s">
        <v>4</v>
      </c>
    </row>
    <row r="6123" spans="1:4" outlineLevel="1" x14ac:dyDescent="0.25">
      <c r="A6123" t="s">
        <v>710</v>
      </c>
      <c r="B6123" t="s">
        <v>19</v>
      </c>
      <c r="C6123" s="1" t="str">
        <f>HYPERLINK("http://продеталь.рф/search.html?article=195642051","195642051")</f>
        <v>195642051</v>
      </c>
      <c r="D6123" t="s">
        <v>4</v>
      </c>
    </row>
    <row r="6124" spans="1:4" outlineLevel="1" x14ac:dyDescent="0.25">
      <c r="A6124" t="s">
        <v>710</v>
      </c>
      <c r="B6124" t="s">
        <v>19</v>
      </c>
      <c r="C6124" s="1" t="str">
        <f>HYPERLINK("http://продеталь.рф/search.html?article=195641051","195641051")</f>
        <v>195641051</v>
      </c>
      <c r="D6124" t="s">
        <v>4</v>
      </c>
    </row>
    <row r="6125" spans="1:4" outlineLevel="1" x14ac:dyDescent="0.25">
      <c r="A6125" t="s">
        <v>710</v>
      </c>
      <c r="B6125" t="s">
        <v>28</v>
      </c>
      <c r="C6125" s="1" t="str">
        <f>HYPERLINK("http://продеталь.рф/search.html?article=RA648699","RA648699")</f>
        <v>RA648699</v>
      </c>
      <c r="D6125" t="s">
        <v>6</v>
      </c>
    </row>
    <row r="6126" spans="1:4" outlineLevel="1" x14ac:dyDescent="0.25">
      <c r="A6126" t="s">
        <v>710</v>
      </c>
      <c r="B6126" t="s">
        <v>12</v>
      </c>
      <c r="C6126" s="1" t="str">
        <f>HYPERLINK("http://продеталь.рф/search.html?article=TYG1093A0","TYG1093A0")</f>
        <v>TYG1093A0</v>
      </c>
      <c r="D6126" t="s">
        <v>9</v>
      </c>
    </row>
    <row r="6127" spans="1:4" x14ac:dyDescent="0.25">
      <c r="A6127" t="s">
        <v>711</v>
      </c>
      <c r="B6127" s="2" t="s">
        <v>711</v>
      </c>
      <c r="C6127" s="2"/>
      <c r="D6127" s="2"/>
    </row>
    <row r="6128" spans="1:4" outlineLevel="1" x14ac:dyDescent="0.25">
      <c r="A6128" t="s">
        <v>711</v>
      </c>
      <c r="B6128" t="s">
        <v>3</v>
      </c>
      <c r="C6128" s="1" t="str">
        <f>HYPERLINK("http://продеталь.рф/search.html?article=206898011A","206898011A")</f>
        <v>206898011A</v>
      </c>
      <c r="D6128" t="s">
        <v>4</v>
      </c>
    </row>
    <row r="6129" spans="1:4" outlineLevel="1" x14ac:dyDescent="0.25">
      <c r="A6129" t="s">
        <v>711</v>
      </c>
      <c r="B6129" t="s">
        <v>3</v>
      </c>
      <c r="C6129" s="1" t="str">
        <f>HYPERLINK("http://продеталь.рф/search.html?article=206897011A","206897011A")</f>
        <v>206897011A</v>
      </c>
      <c r="D6129" t="s">
        <v>4</v>
      </c>
    </row>
    <row r="6130" spans="1:4" outlineLevel="1" x14ac:dyDescent="0.25">
      <c r="A6130" t="s">
        <v>711</v>
      </c>
      <c r="B6130" t="s">
        <v>5</v>
      </c>
      <c r="C6130" s="1" t="str">
        <f>HYPERLINK("http://продеталь.рф/search.html?article=TY602016L0R00","TY602016L0R00")</f>
        <v>TY602016L0R00</v>
      </c>
      <c r="D6130" t="s">
        <v>9</v>
      </c>
    </row>
    <row r="6131" spans="1:4" outlineLevel="1" x14ac:dyDescent="0.25">
      <c r="A6131" t="s">
        <v>711</v>
      </c>
      <c r="B6131" t="s">
        <v>8</v>
      </c>
      <c r="C6131" s="1" t="str">
        <f>HYPERLINK("http://продеталь.рф/search.html?article=RCTY39097A","RCTY39097A")</f>
        <v>RCTY39097A</v>
      </c>
      <c r="D6131" t="s">
        <v>6</v>
      </c>
    </row>
    <row r="6132" spans="1:4" outlineLevel="1" x14ac:dyDescent="0.25">
      <c r="A6132" t="s">
        <v>711</v>
      </c>
      <c r="B6132" t="s">
        <v>13</v>
      </c>
      <c r="C6132" s="1" t="str">
        <f>HYPERLINK("http://продеталь.рф/search.html?article=TY44412A","TY44412A")</f>
        <v>TY44412A</v>
      </c>
      <c r="D6132" t="s">
        <v>2</v>
      </c>
    </row>
    <row r="6133" spans="1:4" x14ac:dyDescent="0.25">
      <c r="A6133" t="s">
        <v>712</v>
      </c>
      <c r="B6133" s="2" t="s">
        <v>712</v>
      </c>
      <c r="C6133" s="2"/>
      <c r="D6133" s="2"/>
    </row>
    <row r="6134" spans="1:4" outlineLevel="1" x14ac:dyDescent="0.25">
      <c r="A6134" t="s">
        <v>712</v>
      </c>
      <c r="B6134" t="s">
        <v>11</v>
      </c>
      <c r="C6134" s="1" t="str">
        <f>HYPERLINK("http://продеталь.рф/search.html?article=TY60200001000","TY60200001000")</f>
        <v>TY60200001000</v>
      </c>
      <c r="D6134" t="s">
        <v>9</v>
      </c>
    </row>
    <row r="6135" spans="1:4" outlineLevel="1" x14ac:dyDescent="0.25">
      <c r="A6135" t="s">
        <v>712</v>
      </c>
      <c r="B6135" t="s">
        <v>1</v>
      </c>
      <c r="C6135" s="1" t="str">
        <f>HYPERLINK("http://продеталь.рф/search.html?article=99E13","99E13")</f>
        <v>99E13</v>
      </c>
      <c r="D6135" t="s">
        <v>36</v>
      </c>
    </row>
    <row r="6136" spans="1:4" outlineLevel="1" x14ac:dyDescent="0.25">
      <c r="A6136" t="s">
        <v>712</v>
      </c>
      <c r="B6136" t="s">
        <v>103</v>
      </c>
      <c r="C6136" s="1" t="str">
        <f>HYPERLINK("http://продеталь.рф/search.html?article=TY99170CAL","TY99170CAL")</f>
        <v>TY99170CAL</v>
      </c>
      <c r="D6136" t="s">
        <v>2</v>
      </c>
    </row>
    <row r="6137" spans="1:4" outlineLevel="1" x14ac:dyDescent="0.25">
      <c r="A6137" t="s">
        <v>712</v>
      </c>
      <c r="B6137" t="s">
        <v>147</v>
      </c>
      <c r="C6137" s="1" t="str">
        <f>HYPERLINK("http://продеталь.рф/search.html?article=175283009A","175283009A")</f>
        <v>175283009A</v>
      </c>
      <c r="D6137" t="s">
        <v>4</v>
      </c>
    </row>
    <row r="6138" spans="1:4" outlineLevel="1" x14ac:dyDescent="0.25">
      <c r="A6138" t="s">
        <v>712</v>
      </c>
      <c r="B6138" t="s">
        <v>27</v>
      </c>
      <c r="C6138" s="1" t="str">
        <f>HYPERLINK("http://продеталь.рф/search.html?article=PTY30144A","PTY30144A")</f>
        <v>PTY30144A</v>
      </c>
      <c r="D6138" t="s">
        <v>6</v>
      </c>
    </row>
    <row r="6139" spans="1:4" x14ac:dyDescent="0.25">
      <c r="A6139" t="s">
        <v>713</v>
      </c>
      <c r="B6139" s="2" t="s">
        <v>713</v>
      </c>
      <c r="C6139" s="2"/>
      <c r="D6139" s="2"/>
    </row>
    <row r="6140" spans="1:4" outlineLevel="1" x14ac:dyDescent="0.25">
      <c r="A6140" t="s">
        <v>713</v>
      </c>
      <c r="B6140" t="s">
        <v>1</v>
      </c>
      <c r="C6140" s="1" t="str">
        <f>HYPERLINK("http://продеталь.рф/search.html?article=TY20140B","TY20140B")</f>
        <v>TY20140B</v>
      </c>
      <c r="D6140" t="s">
        <v>2</v>
      </c>
    </row>
    <row r="6141" spans="1:4" outlineLevel="1" x14ac:dyDescent="0.25">
      <c r="A6141" t="s">
        <v>713</v>
      </c>
      <c r="B6141" t="s">
        <v>24</v>
      </c>
      <c r="C6141" s="1" t="str">
        <f>HYPERLINK("http://продеталь.рф/search.html?article=TY10210AL","TY10210AL")</f>
        <v>TY10210AL</v>
      </c>
      <c r="D6141" t="s">
        <v>2</v>
      </c>
    </row>
    <row r="6142" spans="1:4" outlineLevel="1" x14ac:dyDescent="0.25">
      <c r="A6142" t="s">
        <v>713</v>
      </c>
      <c r="B6142" t="s">
        <v>24</v>
      </c>
      <c r="C6142" s="1" t="str">
        <f>HYPERLINK("http://продеталь.рф/search.html?article=TY10210AR","TY10210AR")</f>
        <v>TY10210AR</v>
      </c>
      <c r="D6142" t="s">
        <v>2</v>
      </c>
    </row>
    <row r="6143" spans="1:4" outlineLevel="1" x14ac:dyDescent="0.25">
      <c r="A6143" t="s">
        <v>713</v>
      </c>
      <c r="B6143" t="s">
        <v>24</v>
      </c>
      <c r="C6143" s="1" t="str">
        <f>HYPERLINK("http://продеталь.рф/search.html?article=TY10210BL","TY10210BL")</f>
        <v>TY10210BL</v>
      </c>
      <c r="D6143" t="s">
        <v>2</v>
      </c>
    </row>
    <row r="6144" spans="1:4" outlineLevel="1" x14ac:dyDescent="0.25">
      <c r="A6144" t="s">
        <v>713</v>
      </c>
      <c r="B6144" t="s">
        <v>24</v>
      </c>
      <c r="C6144" s="1" t="str">
        <f>HYPERLINK("http://продеталь.рф/search.html?article=TY10210BR","TY10210BR")</f>
        <v>TY10210BR</v>
      </c>
      <c r="D6144" t="s">
        <v>2</v>
      </c>
    </row>
    <row r="6145" spans="1:4" outlineLevel="1" x14ac:dyDescent="0.25">
      <c r="A6145" t="s">
        <v>713</v>
      </c>
      <c r="B6145" t="s">
        <v>13</v>
      </c>
      <c r="C6145" s="1" t="str">
        <f>HYPERLINK("http://продеталь.рф/search.html?article=TY44356B","TY44356B")</f>
        <v>TY44356B</v>
      </c>
      <c r="D6145" t="s">
        <v>2</v>
      </c>
    </row>
    <row r="6146" spans="1:4" x14ac:dyDescent="0.25">
      <c r="A6146" t="s">
        <v>714</v>
      </c>
      <c r="B6146" s="2" t="s">
        <v>714</v>
      </c>
      <c r="C6146" s="2"/>
      <c r="D6146" s="2"/>
    </row>
    <row r="6147" spans="1:4" outlineLevel="1" x14ac:dyDescent="0.25">
      <c r="A6147" t="s">
        <v>714</v>
      </c>
      <c r="B6147" t="s">
        <v>1</v>
      </c>
      <c r="C6147" s="1" t="str">
        <f>HYPERLINK("http://продеталь.рф/search.html?article=TY20084A","TY20084A")</f>
        <v>TY20084A</v>
      </c>
      <c r="D6147" t="s">
        <v>2</v>
      </c>
    </row>
    <row r="6148" spans="1:4" outlineLevel="1" x14ac:dyDescent="0.25">
      <c r="A6148" t="s">
        <v>714</v>
      </c>
      <c r="B6148" t="s">
        <v>24</v>
      </c>
      <c r="C6148" s="1" t="str">
        <f>HYPERLINK("http://продеталь.рф/search.html?article=PTY10117AL","PTY10117AL")</f>
        <v>PTY10117AL</v>
      </c>
      <c r="D6148" t="s">
        <v>6</v>
      </c>
    </row>
    <row r="6149" spans="1:4" outlineLevel="1" x14ac:dyDescent="0.25">
      <c r="A6149" t="s">
        <v>714</v>
      </c>
      <c r="B6149" t="s">
        <v>12</v>
      </c>
      <c r="C6149" s="1" t="str">
        <f>HYPERLINK("http://продеталь.рф/search.html?article=TY89093B0","TY89093B0")</f>
        <v>TY89093B0</v>
      </c>
      <c r="D6149" t="s">
        <v>9</v>
      </c>
    </row>
    <row r="6150" spans="1:4" outlineLevel="1" x14ac:dyDescent="0.25">
      <c r="A6150" t="s">
        <v>714</v>
      </c>
      <c r="B6150" t="s">
        <v>16</v>
      </c>
      <c r="C6150" s="1" t="str">
        <f>HYPERLINK("http://продеталь.рф/search.html?article=185544016B","185544016B")</f>
        <v>185544016B</v>
      </c>
      <c r="D6150" t="s">
        <v>4</v>
      </c>
    </row>
    <row r="6151" spans="1:4" x14ac:dyDescent="0.25">
      <c r="A6151" t="s">
        <v>715</v>
      </c>
      <c r="B6151" s="2" t="s">
        <v>715</v>
      </c>
      <c r="C6151" s="2"/>
      <c r="D6151" s="2"/>
    </row>
    <row r="6152" spans="1:4" outlineLevel="1" x14ac:dyDescent="0.25">
      <c r="A6152" t="s">
        <v>715</v>
      </c>
      <c r="B6152" t="s">
        <v>5</v>
      </c>
      <c r="C6152" s="1" t="str">
        <f>HYPERLINK("http://продеталь.рф/search.html?article=306TYF266","306TYF266")</f>
        <v>306TYF266</v>
      </c>
      <c r="D6152" t="s">
        <v>4</v>
      </c>
    </row>
    <row r="6153" spans="1:4" x14ac:dyDescent="0.25">
      <c r="A6153" t="s">
        <v>716</v>
      </c>
      <c r="B6153" s="2" t="s">
        <v>716</v>
      </c>
      <c r="C6153" s="2"/>
      <c r="D6153" s="2"/>
    </row>
    <row r="6154" spans="1:4" outlineLevel="1" x14ac:dyDescent="0.25">
      <c r="A6154" t="s">
        <v>716</v>
      </c>
      <c r="B6154" t="s">
        <v>1</v>
      </c>
      <c r="C6154" s="1" t="str">
        <f>HYPERLINK("http://продеталь.рф/search.html?article=TY20134A","TY20134A")</f>
        <v>TY20134A</v>
      </c>
      <c r="D6154" t="s">
        <v>2</v>
      </c>
    </row>
    <row r="6155" spans="1:4" outlineLevel="1" x14ac:dyDescent="0.25">
      <c r="A6155" t="s">
        <v>716</v>
      </c>
      <c r="B6155" t="s">
        <v>12</v>
      </c>
      <c r="C6155" s="1" t="str">
        <f>HYPERLINK("http://продеталь.рф/search.html?article=TY07293GB","TY07293GB")</f>
        <v>TY07293GB</v>
      </c>
      <c r="D6155" t="s">
        <v>2</v>
      </c>
    </row>
    <row r="6156" spans="1:4" x14ac:dyDescent="0.25">
      <c r="A6156" t="s">
        <v>717</v>
      </c>
      <c r="B6156" s="2" t="s">
        <v>717</v>
      </c>
      <c r="C6156" s="2"/>
      <c r="D6156" s="2"/>
    </row>
    <row r="6157" spans="1:4" outlineLevel="1" x14ac:dyDescent="0.25">
      <c r="A6157" t="s">
        <v>717</v>
      </c>
      <c r="B6157" t="s">
        <v>11</v>
      </c>
      <c r="C6157" s="1" t="str">
        <f>HYPERLINK("http://продеталь.рф/search.html?article=TY04112BA","TY04112BA")</f>
        <v>TY04112BA</v>
      </c>
      <c r="D6157" t="s">
        <v>2</v>
      </c>
    </row>
    <row r="6158" spans="1:4" outlineLevel="1" x14ac:dyDescent="0.25">
      <c r="A6158" t="s">
        <v>717</v>
      </c>
      <c r="B6158" t="s">
        <v>3</v>
      </c>
      <c r="C6158" s="1" t="str">
        <f>HYPERLINK("http://продеталь.рф/search.html?article=206090016B","206090016B")</f>
        <v>206090016B</v>
      </c>
      <c r="D6158" t="s">
        <v>4</v>
      </c>
    </row>
    <row r="6159" spans="1:4" outlineLevel="1" x14ac:dyDescent="0.25">
      <c r="A6159" t="s">
        <v>717</v>
      </c>
      <c r="B6159" t="s">
        <v>12</v>
      </c>
      <c r="C6159" s="1" t="str">
        <f>HYPERLINK("http://продеталь.рф/search.html?article=TY07199GB","TY07199GB")</f>
        <v>TY07199GB</v>
      </c>
      <c r="D6159" t="s">
        <v>2</v>
      </c>
    </row>
    <row r="6160" spans="1:4" x14ac:dyDescent="0.25">
      <c r="A6160" t="s">
        <v>718</v>
      </c>
      <c r="B6160" s="2" t="s">
        <v>718</v>
      </c>
      <c r="C6160" s="2"/>
      <c r="D6160" s="2"/>
    </row>
    <row r="6161" spans="1:4" outlineLevel="1" x14ac:dyDescent="0.25">
      <c r="A6161" t="s">
        <v>718</v>
      </c>
      <c r="B6161" t="s">
        <v>11</v>
      </c>
      <c r="C6161" s="1" t="str">
        <f>HYPERLINK("http://продеталь.рф/search.html?article=TYW1000E0","TYW1000E0")</f>
        <v>TYW1000E0</v>
      </c>
      <c r="D6161" t="s">
        <v>9</v>
      </c>
    </row>
    <row r="6162" spans="1:4" outlineLevel="1" x14ac:dyDescent="0.25">
      <c r="A6162" t="s">
        <v>718</v>
      </c>
      <c r="B6162" t="s">
        <v>15</v>
      </c>
      <c r="C6162" s="1" t="str">
        <f>HYPERLINK("http://продеталь.рф/search.html?article=GD9211L","GD9211L")</f>
        <v>GD9211L</v>
      </c>
      <c r="D6162" t="s">
        <v>2</v>
      </c>
    </row>
    <row r="6163" spans="1:4" outlineLevel="1" x14ac:dyDescent="0.25">
      <c r="A6163" t="s">
        <v>718</v>
      </c>
      <c r="B6163" t="s">
        <v>23</v>
      </c>
      <c r="C6163" s="1" t="str">
        <f>HYPERLINK("http://продеталь.рф/search.html?article=116076001A","116076001A")</f>
        <v>116076001A</v>
      </c>
      <c r="D6163" t="s">
        <v>4</v>
      </c>
    </row>
    <row r="6164" spans="1:4" outlineLevel="1" x14ac:dyDescent="0.25">
      <c r="A6164" t="s">
        <v>718</v>
      </c>
      <c r="B6164" t="s">
        <v>23</v>
      </c>
      <c r="C6164" s="1" t="str">
        <f>HYPERLINK("http://продеталь.рф/search.html?article=116075001A","116075001A")</f>
        <v>116075001A</v>
      </c>
      <c r="D6164" t="s">
        <v>4</v>
      </c>
    </row>
    <row r="6165" spans="1:4" outlineLevel="1" x14ac:dyDescent="0.25">
      <c r="A6165" t="s">
        <v>718</v>
      </c>
      <c r="B6165" t="s">
        <v>331</v>
      </c>
      <c r="C6165" s="1" t="str">
        <f>HYPERLINK("http://продеталь.рф/search.html?article=PTY22107A","PTY22107A")</f>
        <v>PTY22107A</v>
      </c>
      <c r="D6165" t="s">
        <v>6</v>
      </c>
    </row>
    <row r="6166" spans="1:4" outlineLevel="1" x14ac:dyDescent="0.25">
      <c r="A6166" t="s">
        <v>718</v>
      </c>
      <c r="B6166" t="s">
        <v>84</v>
      </c>
      <c r="C6166" s="1" t="str">
        <f>HYPERLINK("http://продеталь.рф/search.html?article=GD8663AL","GD8663AL")</f>
        <v>GD8663AL</v>
      </c>
      <c r="D6166" t="s">
        <v>2</v>
      </c>
    </row>
    <row r="6167" spans="1:4" outlineLevel="1" x14ac:dyDescent="0.25">
      <c r="A6167" t="s">
        <v>718</v>
      </c>
      <c r="B6167" t="s">
        <v>84</v>
      </c>
      <c r="C6167" s="1" t="str">
        <f>HYPERLINK("http://продеталь.рф/search.html?article=GD8663AR","GD8663AR")</f>
        <v>GD8663AR</v>
      </c>
      <c r="D6167" t="s">
        <v>2</v>
      </c>
    </row>
    <row r="6168" spans="1:4" outlineLevel="1" x14ac:dyDescent="0.25">
      <c r="A6168" t="s">
        <v>718</v>
      </c>
      <c r="B6168" t="s">
        <v>24</v>
      </c>
      <c r="C6168" s="1" t="str">
        <f>HYPERLINK("http://продеталь.рф/search.html?article=TYW10162","TYW10162")</f>
        <v>TYW10162</v>
      </c>
      <c r="D6168" t="s">
        <v>9</v>
      </c>
    </row>
    <row r="6169" spans="1:4" outlineLevel="1" x14ac:dyDescent="0.25">
      <c r="A6169" t="s">
        <v>718</v>
      </c>
      <c r="B6169" t="s">
        <v>27</v>
      </c>
      <c r="C6169" s="1" t="str">
        <f>HYPERLINK("http://продеталь.рф/search.html?article=TY30078A","TY30078A")</f>
        <v>TY30078A</v>
      </c>
      <c r="D6169" t="s">
        <v>2</v>
      </c>
    </row>
    <row r="6170" spans="1:4" outlineLevel="1" x14ac:dyDescent="0.25">
      <c r="A6170" t="s">
        <v>718</v>
      </c>
      <c r="B6170" t="s">
        <v>3</v>
      </c>
      <c r="C6170" s="1" t="str">
        <f>HYPERLINK("http://продеталь.рф/search.html?article=20641205","20641205")</f>
        <v>20641205</v>
      </c>
      <c r="D6170" t="s">
        <v>4</v>
      </c>
    </row>
    <row r="6171" spans="1:4" outlineLevel="1" x14ac:dyDescent="0.25">
      <c r="A6171" t="s">
        <v>718</v>
      </c>
      <c r="B6171" t="s">
        <v>3</v>
      </c>
      <c r="C6171" s="1" t="str">
        <f>HYPERLINK("http://продеталь.рф/search.html?article=20641105","20641105")</f>
        <v>20641105</v>
      </c>
      <c r="D6171" t="s">
        <v>4</v>
      </c>
    </row>
    <row r="6172" spans="1:4" outlineLevel="1" x14ac:dyDescent="0.25">
      <c r="A6172" t="s">
        <v>718</v>
      </c>
      <c r="B6172" t="s">
        <v>8</v>
      </c>
      <c r="C6172" s="1" t="str">
        <f>HYPERLINK("http://продеталь.рф/search.html?article=RC94305","RC94305")</f>
        <v>RC94305</v>
      </c>
      <c r="D6172" t="s">
        <v>6</v>
      </c>
    </row>
    <row r="6173" spans="1:4" outlineLevel="1" x14ac:dyDescent="0.25">
      <c r="A6173" t="s">
        <v>718</v>
      </c>
      <c r="B6173" t="s">
        <v>12</v>
      </c>
      <c r="C6173" s="1" t="str">
        <f>HYPERLINK("http://продеталь.рф/search.html?article=TY07294GA","TY07294GA")</f>
        <v>TY07294GA</v>
      </c>
      <c r="D6173" t="s">
        <v>99</v>
      </c>
    </row>
    <row r="6174" spans="1:4" outlineLevel="1" x14ac:dyDescent="0.25">
      <c r="A6174" t="s">
        <v>718</v>
      </c>
      <c r="B6174" t="s">
        <v>71</v>
      </c>
      <c r="C6174" s="1" t="str">
        <f>HYPERLINK("http://продеталь.рф/search.html?article=TY21101300L00","TY21101300L00")</f>
        <v>TY21101300L00</v>
      </c>
      <c r="D6174" t="s">
        <v>9</v>
      </c>
    </row>
    <row r="6175" spans="1:4" outlineLevel="1" x14ac:dyDescent="0.25">
      <c r="A6175" t="s">
        <v>718</v>
      </c>
      <c r="B6175" t="s">
        <v>71</v>
      </c>
      <c r="C6175" s="1" t="str">
        <f>HYPERLINK("http://продеталь.рф/search.html?article=TY21101300R00","TY21101300R00")</f>
        <v>TY21101300R00</v>
      </c>
      <c r="D6175" t="s">
        <v>9</v>
      </c>
    </row>
    <row r="6176" spans="1:4" outlineLevel="1" x14ac:dyDescent="0.25">
      <c r="A6176" t="s">
        <v>718</v>
      </c>
      <c r="B6176" t="s">
        <v>71</v>
      </c>
      <c r="C6176" s="1" t="str">
        <f>HYPERLINK("http://продеталь.рф/search.html?article=PTY02001AC","PTY02001AC")</f>
        <v>PTY02001AC</v>
      </c>
      <c r="D6176" t="s">
        <v>6</v>
      </c>
    </row>
    <row r="6177" spans="1:4" outlineLevel="1" x14ac:dyDescent="0.25">
      <c r="A6177" t="s">
        <v>718</v>
      </c>
      <c r="B6177" t="s">
        <v>71</v>
      </c>
      <c r="C6177" s="1" t="str">
        <f>HYPERLINK("http://продеталь.рф/search.html?article=PTY02027VA","PTY02027VA")</f>
        <v>PTY02027VA</v>
      </c>
      <c r="D6177" t="s">
        <v>6</v>
      </c>
    </row>
    <row r="6178" spans="1:4" outlineLevel="1" x14ac:dyDescent="0.25">
      <c r="A6178" t="s">
        <v>718</v>
      </c>
      <c r="B6178" t="s">
        <v>13</v>
      </c>
      <c r="C6178" s="1" t="str">
        <f>HYPERLINK("http://продеталь.рф/search.html?article=TY44303A","TY44303A")</f>
        <v>TY44303A</v>
      </c>
      <c r="D6178" t="s">
        <v>2</v>
      </c>
    </row>
    <row r="6179" spans="1:4" x14ac:dyDescent="0.25">
      <c r="A6179" t="s">
        <v>719</v>
      </c>
      <c r="B6179" s="2" t="s">
        <v>719</v>
      </c>
      <c r="C6179" s="2"/>
      <c r="D6179" s="2"/>
    </row>
    <row r="6180" spans="1:4" outlineLevel="1" x14ac:dyDescent="0.25">
      <c r="A6180" t="s">
        <v>719</v>
      </c>
      <c r="B6180" t="s">
        <v>11</v>
      </c>
      <c r="C6180" s="1" t="str">
        <f>HYPERLINK("http://продеталь.рф/search.html?article=TY21200000000","TY21200000000")</f>
        <v>TY21200000000</v>
      </c>
      <c r="D6180" t="s">
        <v>9</v>
      </c>
    </row>
    <row r="6181" spans="1:4" outlineLevel="1" x14ac:dyDescent="0.25">
      <c r="A6181" t="s">
        <v>719</v>
      </c>
      <c r="B6181" t="s">
        <v>1</v>
      </c>
      <c r="C6181" s="1" t="str">
        <f>HYPERLINK("http://продеталь.рф/search.html?article=PTY20169A","PTY20169A")</f>
        <v>PTY20169A</v>
      </c>
      <c r="D6181" t="s">
        <v>6</v>
      </c>
    </row>
    <row r="6182" spans="1:4" outlineLevel="1" x14ac:dyDescent="0.25">
      <c r="A6182" t="s">
        <v>719</v>
      </c>
      <c r="B6182" t="s">
        <v>84</v>
      </c>
      <c r="C6182" s="1" t="str">
        <f>HYPERLINK("http://продеталь.рф/search.html?article=PTY43421AR","PTY43421AR")</f>
        <v>PTY43421AR</v>
      </c>
      <c r="D6182" t="s">
        <v>6</v>
      </c>
    </row>
    <row r="6183" spans="1:4" outlineLevel="1" x14ac:dyDescent="0.25">
      <c r="A6183" t="s">
        <v>719</v>
      </c>
      <c r="B6183" t="s">
        <v>5</v>
      </c>
      <c r="C6183" s="1" t="str">
        <f>HYPERLINK("http://продеталь.рф/search.html?article=PTY11270AL","PTY11270AL")</f>
        <v>PTY11270AL</v>
      </c>
      <c r="D6183" t="s">
        <v>6</v>
      </c>
    </row>
    <row r="6184" spans="1:4" x14ac:dyDescent="0.25">
      <c r="A6184" t="s">
        <v>720</v>
      </c>
      <c r="B6184" s="2" t="s">
        <v>720</v>
      </c>
      <c r="C6184" s="2"/>
      <c r="D6184" s="2"/>
    </row>
    <row r="6185" spans="1:4" outlineLevel="1" x14ac:dyDescent="0.25">
      <c r="A6185" t="s">
        <v>720</v>
      </c>
      <c r="B6185" t="s">
        <v>11</v>
      </c>
      <c r="C6185" s="1" t="str">
        <f>HYPERLINK("http://продеталь.рф/search.html?article=TY04040BA","TY04040BA")</f>
        <v>TY04040BA</v>
      </c>
      <c r="D6185" t="s">
        <v>2</v>
      </c>
    </row>
    <row r="6186" spans="1:4" outlineLevel="1" x14ac:dyDescent="0.25">
      <c r="A6186" t="s">
        <v>720</v>
      </c>
      <c r="B6186" t="s">
        <v>50</v>
      </c>
      <c r="C6186" s="1" t="str">
        <f>HYPERLINK("http://продеталь.рф/search.html?article=TY790110","TY790110")</f>
        <v>TY790110</v>
      </c>
      <c r="D6186" t="s">
        <v>9</v>
      </c>
    </row>
    <row r="6187" spans="1:4" outlineLevel="1" x14ac:dyDescent="0.25">
      <c r="A6187" t="s">
        <v>720</v>
      </c>
      <c r="B6187" t="s">
        <v>3</v>
      </c>
      <c r="C6187" s="1" t="str">
        <f>HYPERLINK("http://продеталь.рф/search.html?article=20169900","20169900")</f>
        <v>20169900</v>
      </c>
      <c r="D6187" t="s">
        <v>4</v>
      </c>
    </row>
    <row r="6188" spans="1:4" outlineLevel="1" x14ac:dyDescent="0.25">
      <c r="A6188" t="s">
        <v>720</v>
      </c>
      <c r="B6188" t="s">
        <v>3</v>
      </c>
      <c r="C6188" s="1" t="str">
        <f>HYPERLINK("http://продеталь.рф/search.html?article=20169800","20169800")</f>
        <v>20169800</v>
      </c>
      <c r="D6188" t="s">
        <v>4</v>
      </c>
    </row>
    <row r="6189" spans="1:4" outlineLevel="1" x14ac:dyDescent="0.25">
      <c r="A6189" t="s">
        <v>720</v>
      </c>
      <c r="B6189" t="s">
        <v>16</v>
      </c>
      <c r="C6189" s="1" t="str">
        <f>HYPERLINK("http://продеталь.рф/search.html?article=ZTY1506L","ZTY1506L")</f>
        <v>ZTY1506L</v>
      </c>
      <c r="D6189" t="s">
        <v>6</v>
      </c>
    </row>
    <row r="6190" spans="1:4" outlineLevel="1" x14ac:dyDescent="0.25">
      <c r="A6190" t="s">
        <v>720</v>
      </c>
      <c r="B6190" t="s">
        <v>16</v>
      </c>
      <c r="C6190" s="1" t="str">
        <f>HYPERLINK("http://продеталь.рф/search.html?article=ZTY1506R","ZTY1506R")</f>
        <v>ZTY1506R</v>
      </c>
      <c r="D6190" t="s">
        <v>6</v>
      </c>
    </row>
    <row r="6191" spans="1:4" x14ac:dyDescent="0.25">
      <c r="A6191" t="s">
        <v>721</v>
      </c>
      <c r="B6191" s="2" t="s">
        <v>721</v>
      </c>
      <c r="C6191" s="2"/>
      <c r="D6191" s="2"/>
    </row>
    <row r="6192" spans="1:4" outlineLevel="1" x14ac:dyDescent="0.25">
      <c r="A6192" t="s">
        <v>721</v>
      </c>
      <c r="B6192" t="s">
        <v>11</v>
      </c>
      <c r="C6192" s="1" t="str">
        <f>HYPERLINK("http://продеталь.рф/search.html?article=TY04242BA","TY04242BA")</f>
        <v>TY04242BA</v>
      </c>
      <c r="D6192" t="s">
        <v>2</v>
      </c>
    </row>
    <row r="6193" spans="1:4" outlineLevel="1" x14ac:dyDescent="0.25">
      <c r="A6193" t="s">
        <v>721</v>
      </c>
      <c r="B6193" t="s">
        <v>11</v>
      </c>
      <c r="C6193" s="1" t="str">
        <f>HYPERLINK("http://продеталь.рф/search.html?article=TY04333BA","TY04333BA")</f>
        <v>TY04333BA</v>
      </c>
      <c r="D6193" t="s">
        <v>2</v>
      </c>
    </row>
    <row r="6194" spans="1:4" outlineLevel="1" x14ac:dyDescent="0.25">
      <c r="A6194" t="s">
        <v>721</v>
      </c>
      <c r="B6194" t="s">
        <v>35</v>
      </c>
      <c r="C6194" s="1" t="str">
        <f>HYPERLINK("http://продеталь.рф/search.html?article=TY33032AL","TY33032AL")</f>
        <v>TY33032AL</v>
      </c>
      <c r="D6194" t="s">
        <v>2</v>
      </c>
    </row>
    <row r="6195" spans="1:4" outlineLevel="1" x14ac:dyDescent="0.25">
      <c r="A6195" t="s">
        <v>721</v>
      </c>
      <c r="B6195" t="s">
        <v>35</v>
      </c>
      <c r="C6195" s="1" t="str">
        <f>HYPERLINK("http://продеталь.рф/search.html?article=TY33032AR","TY33032AR")</f>
        <v>TY33032AR</v>
      </c>
      <c r="D6195" t="s">
        <v>2</v>
      </c>
    </row>
    <row r="6196" spans="1:4" outlineLevel="1" x14ac:dyDescent="0.25">
      <c r="A6196" t="s">
        <v>721</v>
      </c>
      <c r="B6196" t="s">
        <v>35</v>
      </c>
      <c r="C6196" s="1" t="str">
        <f>HYPERLINK("http://продеталь.рф/search.html?article=TY33042A","TY33042A")</f>
        <v>TY33042A</v>
      </c>
      <c r="D6196" t="s">
        <v>2</v>
      </c>
    </row>
    <row r="6197" spans="1:4" outlineLevel="1" x14ac:dyDescent="0.25">
      <c r="A6197" t="s">
        <v>721</v>
      </c>
      <c r="B6197" t="s">
        <v>84</v>
      </c>
      <c r="C6197" s="1" t="str">
        <f>HYPERLINK("http://продеталь.рф/search.html?article=TY99081AR","TY99081AR")</f>
        <v>TY99081AR</v>
      </c>
      <c r="D6197" t="s">
        <v>2</v>
      </c>
    </row>
    <row r="6198" spans="1:4" outlineLevel="1" x14ac:dyDescent="0.25">
      <c r="A6198" t="s">
        <v>721</v>
      </c>
      <c r="B6198" t="s">
        <v>24</v>
      </c>
      <c r="C6198" s="1" t="str">
        <f>HYPERLINK("http://продеталь.рф/search.html?article=99570R","99570R")</f>
        <v>99570R</v>
      </c>
      <c r="D6198" t="s">
        <v>36</v>
      </c>
    </row>
    <row r="6199" spans="1:4" outlineLevel="1" x14ac:dyDescent="0.25">
      <c r="A6199" t="s">
        <v>721</v>
      </c>
      <c r="B6199" t="s">
        <v>103</v>
      </c>
      <c r="C6199" s="1" t="str">
        <f>HYPERLINK("http://продеталь.рф/search.html?article=TY99076CAL","TY99076CAL")</f>
        <v>TY99076CAL</v>
      </c>
      <c r="D6199" t="s">
        <v>2</v>
      </c>
    </row>
    <row r="6200" spans="1:4" outlineLevel="1" x14ac:dyDescent="0.25">
      <c r="A6200" t="s">
        <v>721</v>
      </c>
      <c r="B6200" t="s">
        <v>103</v>
      </c>
      <c r="C6200" s="1" t="str">
        <f>HYPERLINK("http://продеталь.рф/search.html?article=TY99076CAR","TY99076CAR")</f>
        <v>TY99076CAR</v>
      </c>
      <c r="D6200" t="s">
        <v>2</v>
      </c>
    </row>
    <row r="6201" spans="1:4" outlineLevel="1" x14ac:dyDescent="0.25">
      <c r="A6201" t="s">
        <v>721</v>
      </c>
      <c r="B6201" t="s">
        <v>66</v>
      </c>
      <c r="C6201" s="1" t="str">
        <f>HYPERLINK("http://продеталь.рф/search.html?article=BK063","BK063")</f>
        <v>BK063</v>
      </c>
      <c r="D6201" t="s">
        <v>6</v>
      </c>
    </row>
    <row r="6202" spans="1:4" outlineLevel="1" x14ac:dyDescent="0.25">
      <c r="A6202" t="s">
        <v>721</v>
      </c>
      <c r="B6202" t="s">
        <v>26</v>
      </c>
      <c r="C6202" s="1" t="str">
        <f>HYPERLINK("http://продеталь.рф/search.html?article=723TYF011C","723TYF011C")</f>
        <v>723TYF011C</v>
      </c>
      <c r="D6202" t="s">
        <v>4</v>
      </c>
    </row>
    <row r="6203" spans="1:4" outlineLevel="1" x14ac:dyDescent="0.25">
      <c r="A6203" t="s">
        <v>721</v>
      </c>
      <c r="B6203" t="s">
        <v>27</v>
      </c>
      <c r="C6203" s="1" t="str">
        <f>HYPERLINK("http://продеталь.рф/search.html?article=TY30090A","TY30090A")</f>
        <v>TY30090A</v>
      </c>
      <c r="D6203" t="s">
        <v>2</v>
      </c>
    </row>
    <row r="6204" spans="1:4" outlineLevel="1" x14ac:dyDescent="0.25">
      <c r="A6204" t="s">
        <v>721</v>
      </c>
      <c r="B6204" t="s">
        <v>3</v>
      </c>
      <c r="C6204" s="1" t="str">
        <f>HYPERLINK("http://продеталь.рф/search.html?article=206876011A","206876011A")</f>
        <v>206876011A</v>
      </c>
      <c r="D6204" t="s">
        <v>4</v>
      </c>
    </row>
    <row r="6205" spans="1:4" outlineLevel="1" x14ac:dyDescent="0.25">
      <c r="A6205" t="s">
        <v>721</v>
      </c>
      <c r="B6205" t="s">
        <v>3</v>
      </c>
      <c r="C6205" s="1" t="str">
        <f>HYPERLINK("http://продеталь.рф/search.html?article=206875011A","206875011A")</f>
        <v>206875011A</v>
      </c>
      <c r="D6205" t="s">
        <v>4</v>
      </c>
    </row>
    <row r="6206" spans="1:4" outlineLevel="1" x14ac:dyDescent="0.25">
      <c r="A6206" t="s">
        <v>721</v>
      </c>
      <c r="B6206" t="s">
        <v>3</v>
      </c>
      <c r="C6206" s="1" t="str">
        <f>HYPERLINK("http://продеталь.рф/search.html?article=20B185A52B","20B185A52B")</f>
        <v>20B185A52B</v>
      </c>
      <c r="D6206" t="s">
        <v>4</v>
      </c>
    </row>
    <row r="6207" spans="1:4" outlineLevel="1" x14ac:dyDescent="0.25">
      <c r="A6207" t="s">
        <v>721</v>
      </c>
      <c r="B6207" t="s">
        <v>3</v>
      </c>
      <c r="C6207" s="1" t="str">
        <f>HYPERLINK("http://продеталь.рф/search.html?article=20B186A52B","20B186A52B")</f>
        <v>20B186A52B</v>
      </c>
      <c r="D6207" t="s">
        <v>4</v>
      </c>
    </row>
    <row r="6208" spans="1:4" outlineLevel="1" x14ac:dyDescent="0.25">
      <c r="A6208" t="s">
        <v>721</v>
      </c>
      <c r="B6208" t="s">
        <v>5</v>
      </c>
      <c r="C6208" s="1" t="str">
        <f>HYPERLINK("http://продеталь.рф/search.html?article=TY11192AL","TY11192AL")</f>
        <v>TY11192AL</v>
      </c>
      <c r="D6208" t="s">
        <v>2</v>
      </c>
    </row>
    <row r="6209" spans="1:4" outlineLevel="1" x14ac:dyDescent="0.25">
      <c r="A6209" t="s">
        <v>721</v>
      </c>
      <c r="B6209" t="s">
        <v>19</v>
      </c>
      <c r="C6209" s="1" t="str">
        <f>HYPERLINK("http://продеталь.рф/search.html?article=19A962012B","19A962012B")</f>
        <v>19A962012B</v>
      </c>
      <c r="D6209" t="s">
        <v>4</v>
      </c>
    </row>
    <row r="6210" spans="1:4" outlineLevel="1" x14ac:dyDescent="0.25">
      <c r="A6210" t="s">
        <v>721</v>
      </c>
      <c r="B6210" t="s">
        <v>8</v>
      </c>
      <c r="C6210" s="1" t="str">
        <f>HYPERLINK("http://продеталь.рф/search.html?article=RC940047","RC940047")</f>
        <v>RC940047</v>
      </c>
      <c r="D6210" t="s">
        <v>6</v>
      </c>
    </row>
    <row r="6211" spans="1:4" outlineLevel="1" x14ac:dyDescent="0.25">
      <c r="A6211" t="s">
        <v>721</v>
      </c>
      <c r="B6211" t="s">
        <v>30</v>
      </c>
      <c r="C6211" s="1" t="str">
        <f>HYPERLINK("http://продеталь.рф/search.html?article=TY99075CAL","TY99075CAL")</f>
        <v>TY99075CAL</v>
      </c>
      <c r="D6211" t="s">
        <v>2</v>
      </c>
    </row>
    <row r="6212" spans="1:4" outlineLevel="1" x14ac:dyDescent="0.25">
      <c r="A6212" t="s">
        <v>721</v>
      </c>
      <c r="B6212" t="s">
        <v>30</v>
      </c>
      <c r="C6212" s="1" t="str">
        <f>HYPERLINK("http://продеталь.рф/search.html?article=TY99075CAR","TY99075CAR")</f>
        <v>TY99075CAR</v>
      </c>
      <c r="D6212" t="s">
        <v>2</v>
      </c>
    </row>
    <row r="6213" spans="1:4" outlineLevel="1" x14ac:dyDescent="0.25">
      <c r="A6213" t="s">
        <v>721</v>
      </c>
      <c r="B6213" t="s">
        <v>40</v>
      </c>
      <c r="C6213" s="1" t="str">
        <f>HYPERLINK("http://продеталь.рф/search.html?article=TY07389GA","TY07389GA")</f>
        <v>TY07389GA</v>
      </c>
      <c r="D6213" t="s">
        <v>2</v>
      </c>
    </row>
    <row r="6214" spans="1:4" outlineLevel="1" x14ac:dyDescent="0.25">
      <c r="A6214" t="s">
        <v>721</v>
      </c>
      <c r="B6214" t="s">
        <v>71</v>
      </c>
      <c r="C6214" s="1" t="str">
        <f>HYPERLINK("http://продеталь.рф/search.html?article=BP0192AL","BP0192AL")</f>
        <v>BP0192AL</v>
      </c>
      <c r="D6214" t="s">
        <v>36</v>
      </c>
    </row>
    <row r="6215" spans="1:4" outlineLevel="1" x14ac:dyDescent="0.25">
      <c r="A6215" t="s">
        <v>721</v>
      </c>
      <c r="B6215" t="s">
        <v>71</v>
      </c>
      <c r="C6215" s="1" t="str">
        <f>HYPERLINK("http://продеталь.рф/search.html?article=BP0192AR","BP0192AR")</f>
        <v>BP0192AR</v>
      </c>
      <c r="D6215" t="s">
        <v>36</v>
      </c>
    </row>
    <row r="6216" spans="1:4" outlineLevel="1" x14ac:dyDescent="0.25">
      <c r="A6216" t="s">
        <v>721</v>
      </c>
      <c r="B6216" t="s">
        <v>13</v>
      </c>
      <c r="C6216" s="1" t="str">
        <f>HYPERLINK("http://продеталь.рф/search.html?article=TY44336A","TY44336A")</f>
        <v>TY44336A</v>
      </c>
      <c r="D6216" t="s">
        <v>2</v>
      </c>
    </row>
    <row r="6217" spans="1:4" x14ac:dyDescent="0.25">
      <c r="A6217" t="s">
        <v>722</v>
      </c>
      <c r="B6217" s="2" t="s">
        <v>722</v>
      </c>
      <c r="C6217" s="2"/>
      <c r="D6217" s="2"/>
    </row>
    <row r="6218" spans="1:4" outlineLevel="1" x14ac:dyDescent="0.25">
      <c r="A6218" t="s">
        <v>722</v>
      </c>
      <c r="B6218" t="s">
        <v>15</v>
      </c>
      <c r="C6218" s="1" t="str">
        <f>HYPERLINK("http://продеталь.рф/search.html?article=VTYM1025ER","VTYM1025ER")</f>
        <v>VTYM1025ER</v>
      </c>
      <c r="D6218" t="s">
        <v>6</v>
      </c>
    </row>
    <row r="6219" spans="1:4" outlineLevel="1" x14ac:dyDescent="0.25">
      <c r="A6219" t="s">
        <v>722</v>
      </c>
      <c r="B6219" t="s">
        <v>1</v>
      </c>
      <c r="C6219" s="1" t="str">
        <f>HYPERLINK("http://продеталь.рф/search.html?article=PTY20172B","PTY20172B")</f>
        <v>PTY20172B</v>
      </c>
      <c r="D6219" t="s">
        <v>6</v>
      </c>
    </row>
    <row r="6220" spans="1:4" outlineLevel="1" x14ac:dyDescent="0.25">
      <c r="A6220" t="s">
        <v>722</v>
      </c>
      <c r="B6220" t="s">
        <v>1</v>
      </c>
      <c r="C6220" s="1" t="str">
        <f>HYPERLINK("http://продеталь.рф/search.html?article=TY20172A","TY20172A")</f>
        <v>TY20172A</v>
      </c>
      <c r="D6220" t="s">
        <v>2</v>
      </c>
    </row>
    <row r="6221" spans="1:4" outlineLevel="1" x14ac:dyDescent="0.25">
      <c r="A6221" t="s">
        <v>722</v>
      </c>
      <c r="B6221" t="s">
        <v>84</v>
      </c>
      <c r="C6221" s="1" t="str">
        <f>HYPERLINK("http://продеталь.рф/search.html?article=TY43433AR","TY43433AR")</f>
        <v>TY43433AR</v>
      </c>
      <c r="D6221" t="s">
        <v>2</v>
      </c>
    </row>
    <row r="6222" spans="1:4" outlineLevel="1" x14ac:dyDescent="0.25">
      <c r="A6222" t="s">
        <v>722</v>
      </c>
      <c r="B6222" t="s">
        <v>84</v>
      </c>
      <c r="C6222" s="1" t="str">
        <f>HYPERLINK("http://продеталь.рф/search.html?article=PTY43434AL","PTY43434AL")</f>
        <v>PTY43434AL</v>
      </c>
      <c r="D6222" t="s">
        <v>6</v>
      </c>
    </row>
    <row r="6223" spans="1:4" outlineLevel="1" x14ac:dyDescent="0.25">
      <c r="A6223" t="s">
        <v>722</v>
      </c>
      <c r="B6223" t="s">
        <v>24</v>
      </c>
      <c r="C6223" s="1" t="str">
        <f>HYPERLINK("http://продеталь.рф/search.html?article=PTY10263AL","PTY10263AL")</f>
        <v>PTY10263AL</v>
      </c>
      <c r="D6223" t="s">
        <v>6</v>
      </c>
    </row>
    <row r="6224" spans="1:4" outlineLevel="1" x14ac:dyDescent="0.25">
      <c r="A6224" t="s">
        <v>722</v>
      </c>
      <c r="B6224" t="s">
        <v>103</v>
      </c>
      <c r="C6224" s="1" t="str">
        <f>HYPERLINK("http://продеталь.рф/search.html?article=TY99102CAR","TY99102CAR")</f>
        <v>TY99102CAR</v>
      </c>
      <c r="D6224" t="s">
        <v>2</v>
      </c>
    </row>
    <row r="6225" spans="1:4" outlineLevel="1" x14ac:dyDescent="0.25">
      <c r="A6225" t="s">
        <v>722</v>
      </c>
      <c r="B6225" t="s">
        <v>103</v>
      </c>
      <c r="C6225" s="1" t="str">
        <f>HYPERLINK("http://продеталь.рф/search.html?article=TY99102CAL","TY99102CAL")</f>
        <v>TY99102CAL</v>
      </c>
      <c r="D6225" t="s">
        <v>2</v>
      </c>
    </row>
    <row r="6226" spans="1:4" outlineLevel="1" x14ac:dyDescent="0.25">
      <c r="A6226" t="s">
        <v>722</v>
      </c>
      <c r="B6226" t="s">
        <v>66</v>
      </c>
      <c r="C6226" s="1" t="str">
        <f>HYPERLINK("http://продеталь.рф/search.html?article=BK121","BK121")</f>
        <v>BK121</v>
      </c>
      <c r="D6226" t="s">
        <v>6</v>
      </c>
    </row>
    <row r="6227" spans="1:4" outlineLevel="1" x14ac:dyDescent="0.25">
      <c r="A6227" t="s">
        <v>722</v>
      </c>
      <c r="B6227" t="s">
        <v>27</v>
      </c>
      <c r="C6227" s="1" t="str">
        <f>HYPERLINK("http://продеталь.рф/search.html?article=PTY30130AC","PTY30130AC")</f>
        <v>PTY30130AC</v>
      </c>
      <c r="D6227" t="s">
        <v>6</v>
      </c>
    </row>
    <row r="6228" spans="1:4" outlineLevel="1" x14ac:dyDescent="0.25">
      <c r="A6228" t="s">
        <v>722</v>
      </c>
      <c r="B6228" t="s">
        <v>3</v>
      </c>
      <c r="C6228" s="1" t="str">
        <f>HYPERLINK("http://продеталь.рф/search.html?article=209092061A","209092061A")</f>
        <v>209092061A</v>
      </c>
      <c r="D6228" t="s">
        <v>4</v>
      </c>
    </row>
    <row r="6229" spans="1:4" outlineLevel="1" x14ac:dyDescent="0.25">
      <c r="A6229" t="s">
        <v>722</v>
      </c>
      <c r="B6229" t="s">
        <v>3</v>
      </c>
      <c r="C6229" s="1" t="str">
        <f>HYPERLINK("http://продеталь.рф/search.html?article=209091061A","209091061A")</f>
        <v>209091061A</v>
      </c>
      <c r="D6229" t="s">
        <v>4</v>
      </c>
    </row>
    <row r="6230" spans="1:4" outlineLevel="1" x14ac:dyDescent="0.25">
      <c r="A6230" t="s">
        <v>722</v>
      </c>
      <c r="B6230" t="s">
        <v>139</v>
      </c>
      <c r="C6230" s="1" t="str">
        <f>HYPERLINK("http://продеталь.рф/search.html?article=PTY21076AL","PTY21076AL")</f>
        <v>PTY21076AL</v>
      </c>
      <c r="D6230" t="s">
        <v>6</v>
      </c>
    </row>
    <row r="6231" spans="1:4" outlineLevel="1" x14ac:dyDescent="0.25">
      <c r="A6231" t="s">
        <v>722</v>
      </c>
      <c r="B6231" t="s">
        <v>5</v>
      </c>
      <c r="C6231" s="1" t="str">
        <f>HYPERLINK("http://продеталь.рф/search.html?article=PTY11263AR","PTY11263AR")</f>
        <v>PTY11263AR</v>
      </c>
      <c r="D6231" t="s">
        <v>6</v>
      </c>
    </row>
    <row r="6232" spans="1:4" outlineLevel="1" x14ac:dyDescent="0.25">
      <c r="A6232" t="s">
        <v>722</v>
      </c>
      <c r="B6232" t="s">
        <v>28</v>
      </c>
      <c r="C6232" s="1" t="str">
        <f>HYPERLINK("http://продеталь.рф/search.html?article=RA646810","RA646810")</f>
        <v>RA646810</v>
      </c>
      <c r="D6232" t="s">
        <v>6</v>
      </c>
    </row>
    <row r="6233" spans="1:4" outlineLevel="1" x14ac:dyDescent="0.25">
      <c r="A6233" t="s">
        <v>722</v>
      </c>
      <c r="B6233" t="s">
        <v>8</v>
      </c>
      <c r="C6233" s="1" t="str">
        <f>HYPERLINK("http://продеталь.рф/search.html?article=RC940175","RC940175")</f>
        <v>RC940175</v>
      </c>
      <c r="D6233" t="s">
        <v>6</v>
      </c>
    </row>
    <row r="6234" spans="1:4" outlineLevel="1" x14ac:dyDescent="0.25">
      <c r="A6234" t="s">
        <v>722</v>
      </c>
      <c r="B6234" t="s">
        <v>30</v>
      </c>
      <c r="C6234" s="1" t="str">
        <f>HYPERLINK("http://продеталь.рф/search.html?article=TY99103CAR","TY99103CAR")</f>
        <v>TY99103CAR</v>
      </c>
      <c r="D6234" t="s">
        <v>2</v>
      </c>
    </row>
    <row r="6235" spans="1:4" outlineLevel="1" x14ac:dyDescent="0.25">
      <c r="A6235" t="s">
        <v>722</v>
      </c>
      <c r="B6235" t="s">
        <v>16</v>
      </c>
      <c r="C6235" s="1" t="str">
        <f>HYPERLINK("http://продеталь.рф/search.html?article=125270019B","125270019B")</f>
        <v>125270019B</v>
      </c>
      <c r="D6235" t="s">
        <v>4</v>
      </c>
    </row>
    <row r="6236" spans="1:4" x14ac:dyDescent="0.25">
      <c r="A6236" t="s">
        <v>723</v>
      </c>
      <c r="B6236" s="2" t="s">
        <v>723</v>
      </c>
      <c r="C6236" s="2"/>
      <c r="D6236" s="2"/>
    </row>
    <row r="6237" spans="1:4" outlineLevel="1" x14ac:dyDescent="0.25">
      <c r="A6237" t="s">
        <v>723</v>
      </c>
      <c r="B6237" t="s">
        <v>11</v>
      </c>
      <c r="C6237" s="1" t="str">
        <f>HYPERLINK("http://продеталь.рф/search.html?article=TY04088BA","TY04088BA")</f>
        <v>TY04088BA</v>
      </c>
      <c r="D6237" t="s">
        <v>2</v>
      </c>
    </row>
    <row r="6238" spans="1:4" outlineLevel="1" x14ac:dyDescent="0.25">
      <c r="A6238" t="s">
        <v>723</v>
      </c>
      <c r="B6238" t="s">
        <v>35</v>
      </c>
      <c r="C6238" s="1" t="str">
        <f>HYPERLINK("http://продеталь.рф/search.html?article=TY33016AL","TY33016AL")</f>
        <v>TY33016AL</v>
      </c>
      <c r="D6238" t="s">
        <v>2</v>
      </c>
    </row>
    <row r="6239" spans="1:4" outlineLevel="1" x14ac:dyDescent="0.25">
      <c r="A6239" t="s">
        <v>723</v>
      </c>
      <c r="B6239" t="s">
        <v>35</v>
      </c>
      <c r="C6239" s="1" t="str">
        <f>HYPERLINK("http://продеталь.рф/search.html?article=TY33016AR","TY33016AR")</f>
        <v>TY33016AR</v>
      </c>
      <c r="D6239" t="s">
        <v>2</v>
      </c>
    </row>
    <row r="6240" spans="1:4" outlineLevel="1" x14ac:dyDescent="0.25">
      <c r="A6240" t="s">
        <v>723</v>
      </c>
      <c r="B6240" t="s">
        <v>24</v>
      </c>
      <c r="C6240" s="1" t="str">
        <f>HYPERLINK("http://продеталь.рф/search.html?article=TY10089AR","TY10089AR")</f>
        <v>TY10089AR</v>
      </c>
      <c r="D6240" t="s">
        <v>2</v>
      </c>
    </row>
    <row r="6241" spans="1:4" outlineLevel="1" x14ac:dyDescent="0.25">
      <c r="A6241" t="s">
        <v>723</v>
      </c>
      <c r="B6241" t="s">
        <v>50</v>
      </c>
      <c r="C6241" s="1" t="str">
        <f>HYPERLINK("http://продеталь.рф/search.html?article=TYY12062","TYY12062")</f>
        <v>TYY12062</v>
      </c>
      <c r="D6241" t="s">
        <v>9</v>
      </c>
    </row>
    <row r="6242" spans="1:4" outlineLevel="1" x14ac:dyDescent="0.25">
      <c r="A6242" t="s">
        <v>723</v>
      </c>
      <c r="B6242" t="s">
        <v>50</v>
      </c>
      <c r="C6242" s="1" t="str">
        <f>HYPERLINK("http://продеталь.рф/search.html?article=TYY12061","TYY12061")</f>
        <v>TYY12061</v>
      </c>
      <c r="D6242" t="s">
        <v>9</v>
      </c>
    </row>
    <row r="6243" spans="1:4" outlineLevel="1" x14ac:dyDescent="0.25">
      <c r="A6243" t="s">
        <v>723</v>
      </c>
      <c r="B6243" t="s">
        <v>27</v>
      </c>
      <c r="C6243" s="1" t="str">
        <f>HYPERLINK("http://продеталь.рф/search.html?article=TYY10090","TYY10090")</f>
        <v>TYY10090</v>
      </c>
      <c r="D6243" t="s">
        <v>9</v>
      </c>
    </row>
    <row r="6244" spans="1:4" outlineLevel="1" x14ac:dyDescent="0.25">
      <c r="A6244" t="s">
        <v>723</v>
      </c>
      <c r="B6244" t="s">
        <v>3</v>
      </c>
      <c r="C6244" s="1" t="str">
        <f>HYPERLINK("http://продеталь.рф/search.html?article=20513600","20513600")</f>
        <v>20513600</v>
      </c>
      <c r="D6244" t="s">
        <v>4</v>
      </c>
    </row>
    <row r="6245" spans="1:4" outlineLevel="1" x14ac:dyDescent="0.25">
      <c r="A6245" t="s">
        <v>723</v>
      </c>
      <c r="B6245" t="s">
        <v>139</v>
      </c>
      <c r="C6245" s="1" t="str">
        <f>HYPERLINK("http://продеталь.рф/search.html?article=TY21074AL","TY21074AL")</f>
        <v>TY21074AL</v>
      </c>
      <c r="D6245" t="s">
        <v>2</v>
      </c>
    </row>
    <row r="6246" spans="1:4" outlineLevel="1" x14ac:dyDescent="0.25">
      <c r="A6246" t="s">
        <v>723</v>
      </c>
      <c r="B6246" t="s">
        <v>5</v>
      </c>
      <c r="C6246" s="1" t="str">
        <f>HYPERLINK("http://продеталь.рф/search.html?article=TY11089AL","TY11089AL")</f>
        <v>TY11089AL</v>
      </c>
      <c r="D6246" t="s">
        <v>99</v>
      </c>
    </row>
    <row r="6247" spans="1:4" outlineLevel="1" x14ac:dyDescent="0.25">
      <c r="A6247" t="s">
        <v>723</v>
      </c>
      <c r="B6247" t="s">
        <v>5</v>
      </c>
      <c r="C6247" s="1" t="str">
        <f>HYPERLINK("http://продеталь.рф/search.html?article=TY11089AR","TY11089AR")</f>
        <v>TY11089AR</v>
      </c>
      <c r="D6247" t="s">
        <v>99</v>
      </c>
    </row>
    <row r="6248" spans="1:4" outlineLevel="1" x14ac:dyDescent="0.25">
      <c r="A6248" t="s">
        <v>723</v>
      </c>
      <c r="B6248" t="s">
        <v>28</v>
      </c>
      <c r="C6248" s="1" t="str">
        <f>HYPERLINK("http://продеталь.рф/search.html?article=613TYP076","613TYP076")</f>
        <v>613TYP076</v>
      </c>
      <c r="D6248" t="s">
        <v>4</v>
      </c>
    </row>
    <row r="6249" spans="1:4" outlineLevel="1" x14ac:dyDescent="0.25">
      <c r="A6249" t="s">
        <v>723</v>
      </c>
      <c r="B6249" t="s">
        <v>28</v>
      </c>
      <c r="C6249" s="1" t="str">
        <f>HYPERLINK("http://продеталь.рф/search.html?article=RA64629A","RA64629A")</f>
        <v>RA64629A</v>
      </c>
      <c r="D6249" t="s">
        <v>6</v>
      </c>
    </row>
    <row r="6250" spans="1:4" outlineLevel="1" x14ac:dyDescent="0.25">
      <c r="A6250" t="s">
        <v>723</v>
      </c>
      <c r="B6250" t="s">
        <v>28</v>
      </c>
      <c r="C6250" s="1" t="str">
        <f>HYPERLINK("http://продеталь.рф/search.html?article=RA64761","RA64761")</f>
        <v>RA64761</v>
      </c>
      <c r="D6250" t="s">
        <v>6</v>
      </c>
    </row>
    <row r="6251" spans="1:4" outlineLevel="1" x14ac:dyDescent="0.25">
      <c r="A6251" t="s">
        <v>723</v>
      </c>
      <c r="B6251" t="s">
        <v>8</v>
      </c>
      <c r="C6251" s="1" t="str">
        <f>HYPERLINK("http://продеталь.рф/search.html?article=6360008","6360008")</f>
        <v>6360008</v>
      </c>
      <c r="D6251" t="s">
        <v>4</v>
      </c>
    </row>
    <row r="6252" spans="1:4" outlineLevel="1" x14ac:dyDescent="0.25">
      <c r="A6252" t="s">
        <v>723</v>
      </c>
      <c r="B6252" t="s">
        <v>12</v>
      </c>
      <c r="C6252" s="1" t="str">
        <f>HYPERLINK("http://продеталь.рф/search.html?article=TYY1093A0","TYY1093A0")</f>
        <v>TYY1093A0</v>
      </c>
      <c r="D6252" t="s">
        <v>9</v>
      </c>
    </row>
    <row r="6253" spans="1:4" outlineLevel="1" x14ac:dyDescent="0.25">
      <c r="A6253" t="s">
        <v>723</v>
      </c>
      <c r="B6253" t="s">
        <v>64</v>
      </c>
      <c r="C6253" s="1" t="str">
        <f>HYPERLINK("http://продеталь.рф/search.html?article=121674011A","121674011A")</f>
        <v>121674011A</v>
      </c>
      <c r="D6253" t="s">
        <v>4</v>
      </c>
    </row>
    <row r="6254" spans="1:4" outlineLevel="1" x14ac:dyDescent="0.25">
      <c r="A6254" t="s">
        <v>723</v>
      </c>
      <c r="B6254" t="s">
        <v>13</v>
      </c>
      <c r="C6254" s="1" t="str">
        <f>HYPERLINK("http://продеталь.рф/search.html?article=TYY1000RB0","TYY1000RB0")</f>
        <v>TYY1000RB0</v>
      </c>
      <c r="D6254" t="s">
        <v>9</v>
      </c>
    </row>
    <row r="6255" spans="1:4" outlineLevel="1" x14ac:dyDescent="0.25">
      <c r="A6255" t="s">
        <v>723</v>
      </c>
      <c r="B6255" t="s">
        <v>13</v>
      </c>
      <c r="C6255" s="1" t="str">
        <f>HYPERLINK("http://продеталь.рф/search.html?article=TYY1000RA0","TYY1000RA0")</f>
        <v>TYY1000RA0</v>
      </c>
      <c r="D6255" t="s">
        <v>9</v>
      </c>
    </row>
    <row r="6256" spans="1:4" x14ac:dyDescent="0.25">
      <c r="A6256" t="s">
        <v>724</v>
      </c>
      <c r="B6256" s="2" t="s">
        <v>724</v>
      </c>
      <c r="C6256" s="2"/>
      <c r="D6256" s="2"/>
    </row>
    <row r="6257" spans="1:4" outlineLevel="1" x14ac:dyDescent="0.25">
      <c r="A6257" t="s">
        <v>724</v>
      </c>
      <c r="B6257" t="s">
        <v>11</v>
      </c>
      <c r="C6257" s="1" t="str">
        <f>HYPERLINK("http://продеталь.рф/search.html?article=TY04178BB","TY04178BB")</f>
        <v>TY04178BB</v>
      </c>
      <c r="D6257" t="s">
        <v>99</v>
      </c>
    </row>
    <row r="6258" spans="1:4" outlineLevel="1" x14ac:dyDescent="0.25">
      <c r="A6258" t="s">
        <v>724</v>
      </c>
      <c r="B6258" t="s">
        <v>11</v>
      </c>
      <c r="C6258" s="1" t="str">
        <f>HYPERLINK("http://продеталь.рф/search.html?article=TY04221BA","TY04221BA")</f>
        <v>TY04221BA</v>
      </c>
      <c r="D6258" t="s">
        <v>2</v>
      </c>
    </row>
    <row r="6259" spans="1:4" outlineLevel="1" x14ac:dyDescent="0.25">
      <c r="A6259" t="s">
        <v>724</v>
      </c>
      <c r="B6259" t="s">
        <v>15</v>
      </c>
      <c r="C6259" s="1" t="str">
        <f>HYPERLINK("http://продеталь.рф/search.html?article=VTYM1015AL","VTYM1015AL")</f>
        <v>VTYM1015AL</v>
      </c>
      <c r="D6259" t="s">
        <v>6</v>
      </c>
    </row>
    <row r="6260" spans="1:4" outlineLevel="1" x14ac:dyDescent="0.25">
      <c r="A6260" t="s">
        <v>724</v>
      </c>
      <c r="B6260" t="s">
        <v>159</v>
      </c>
      <c r="C6260" s="1" t="str">
        <f>HYPERLINK("http://продеталь.рф/search.html?article=8360009","8360009")</f>
        <v>8360009</v>
      </c>
      <c r="D6260" t="s">
        <v>4</v>
      </c>
    </row>
    <row r="6261" spans="1:4" outlineLevel="1" x14ac:dyDescent="0.25">
      <c r="A6261" t="s">
        <v>724</v>
      </c>
      <c r="B6261" t="s">
        <v>79</v>
      </c>
      <c r="C6261" s="1" t="str">
        <f>HYPERLINK("http://продеталь.рф/search.html?article=8360010","8360010")</f>
        <v>8360010</v>
      </c>
      <c r="D6261" t="s">
        <v>4</v>
      </c>
    </row>
    <row r="6262" spans="1:4" outlineLevel="1" x14ac:dyDescent="0.25">
      <c r="A6262" t="s">
        <v>724</v>
      </c>
      <c r="B6262" t="s">
        <v>24</v>
      </c>
      <c r="C6262" s="1" t="str">
        <f>HYPERLINK("http://продеталь.рф/search.html?article=TYY2016C2","TYY2016C2")</f>
        <v>TYY2016C2</v>
      </c>
      <c r="D6262" t="s">
        <v>9</v>
      </c>
    </row>
    <row r="6263" spans="1:4" outlineLevel="1" x14ac:dyDescent="0.25">
      <c r="A6263" t="s">
        <v>724</v>
      </c>
      <c r="B6263" t="s">
        <v>24</v>
      </c>
      <c r="C6263" s="1" t="str">
        <f>HYPERLINK("http://продеталь.рф/search.html?article=TY80201603R00","TY80201603R00")</f>
        <v>TY80201603R00</v>
      </c>
      <c r="D6263" t="s">
        <v>9</v>
      </c>
    </row>
    <row r="6264" spans="1:4" outlineLevel="1" x14ac:dyDescent="0.25">
      <c r="A6264" t="s">
        <v>724</v>
      </c>
      <c r="B6264" t="s">
        <v>50</v>
      </c>
      <c r="C6264" s="1" t="str">
        <f>HYPERLINK("http://продеталь.рф/search.html?article=TY280201100000","TY280201100000")</f>
        <v>TY280201100000</v>
      </c>
      <c r="D6264" t="s">
        <v>9</v>
      </c>
    </row>
    <row r="6265" spans="1:4" outlineLevel="1" x14ac:dyDescent="0.25">
      <c r="A6265" t="s">
        <v>724</v>
      </c>
      <c r="B6265" t="s">
        <v>38</v>
      </c>
      <c r="C6265" s="1" t="str">
        <f>HYPERLINK("http://продеталь.рф/search.html?article=TYY2016M2","TYY2016M2")</f>
        <v>TYY2016M2</v>
      </c>
      <c r="D6265" t="s">
        <v>9</v>
      </c>
    </row>
    <row r="6266" spans="1:4" outlineLevel="1" x14ac:dyDescent="0.25">
      <c r="A6266" t="s">
        <v>724</v>
      </c>
      <c r="B6266" t="s">
        <v>38</v>
      </c>
      <c r="C6266" s="1" t="str">
        <f>HYPERLINK("http://продеталь.рф/search.html?article=TYY2016M1","TYY2016M1")</f>
        <v>TYY2016M1</v>
      </c>
      <c r="D6266" t="s">
        <v>9</v>
      </c>
    </row>
    <row r="6267" spans="1:4" outlineLevel="1" x14ac:dyDescent="0.25">
      <c r="A6267" t="s">
        <v>724</v>
      </c>
      <c r="B6267" t="s">
        <v>506</v>
      </c>
      <c r="C6267" s="1" t="str">
        <f>HYPERLINK("http://продеталь.рф/search.html?article=PTY04178PAR","PTY04178PAR")</f>
        <v>PTY04178PAR</v>
      </c>
      <c r="D6267" t="s">
        <v>6</v>
      </c>
    </row>
    <row r="6268" spans="1:4" outlineLevel="1" x14ac:dyDescent="0.25">
      <c r="A6268" t="s">
        <v>724</v>
      </c>
      <c r="B6268" t="s">
        <v>27</v>
      </c>
      <c r="C6268" s="1" t="str">
        <f>HYPERLINK("http://продеталь.рф/search.html?article=TYY2009A0","TYY2009A0")</f>
        <v>TYY2009A0</v>
      </c>
      <c r="D6268" t="s">
        <v>9</v>
      </c>
    </row>
    <row r="6269" spans="1:4" outlineLevel="1" x14ac:dyDescent="0.25">
      <c r="A6269" t="s">
        <v>724</v>
      </c>
      <c r="B6269" t="s">
        <v>3</v>
      </c>
      <c r="C6269" s="1" t="str">
        <f>HYPERLINK("http://продеталь.рф/search.html?article=206176056B","206176056B")</f>
        <v>206176056B</v>
      </c>
      <c r="D6269" t="s">
        <v>4</v>
      </c>
    </row>
    <row r="6270" spans="1:4" outlineLevel="1" x14ac:dyDescent="0.25">
      <c r="A6270" t="s">
        <v>724</v>
      </c>
      <c r="B6270" t="s">
        <v>3</v>
      </c>
      <c r="C6270" s="1" t="str">
        <f>HYPERLINK("http://продеталь.рф/search.html?article=206175056B","206175056B")</f>
        <v>206175056B</v>
      </c>
      <c r="D6270" t="s">
        <v>4</v>
      </c>
    </row>
    <row r="6271" spans="1:4" outlineLevel="1" x14ac:dyDescent="0.25">
      <c r="A6271" t="s">
        <v>724</v>
      </c>
      <c r="B6271" t="s">
        <v>5</v>
      </c>
      <c r="C6271" s="1" t="str">
        <f>HYPERLINK("http://продеталь.рф/search.html?article=212302","212302")</f>
        <v>212302</v>
      </c>
      <c r="D6271" t="s">
        <v>21</v>
      </c>
    </row>
    <row r="6272" spans="1:4" outlineLevel="1" x14ac:dyDescent="0.25">
      <c r="A6272" t="s">
        <v>724</v>
      </c>
      <c r="B6272" t="s">
        <v>19</v>
      </c>
      <c r="C6272" s="1" t="str">
        <f>HYPERLINK("http://продеталь.рф/search.html?article=1956110005B1","1956110005B1")</f>
        <v>1956110005B1</v>
      </c>
      <c r="D6272" t="s">
        <v>4</v>
      </c>
    </row>
    <row r="6273" spans="1:4" outlineLevel="1" x14ac:dyDescent="0.25">
      <c r="A6273" t="s">
        <v>724</v>
      </c>
      <c r="B6273" t="s">
        <v>8</v>
      </c>
      <c r="C6273" s="1" t="str">
        <f>HYPERLINK("http://продеталь.рф/search.html?article=RC94986","RC94986")</f>
        <v>RC94986</v>
      </c>
      <c r="D6273" t="s">
        <v>6</v>
      </c>
    </row>
    <row r="6274" spans="1:4" outlineLevel="1" x14ac:dyDescent="0.25">
      <c r="A6274" t="s">
        <v>724</v>
      </c>
      <c r="B6274" t="s">
        <v>64</v>
      </c>
      <c r="C6274" s="1" t="str">
        <f>HYPERLINK("http://продеталь.рф/search.html?article=125226051A","125226051A")</f>
        <v>125226051A</v>
      </c>
      <c r="D6274" t="s">
        <v>4</v>
      </c>
    </row>
    <row r="6275" spans="1:4" outlineLevel="1" x14ac:dyDescent="0.25">
      <c r="A6275" t="s">
        <v>724</v>
      </c>
      <c r="B6275" t="s">
        <v>64</v>
      </c>
      <c r="C6275" s="1" t="str">
        <f>HYPERLINK("http://продеталь.рф/search.html?article=125225051A","125225051A")</f>
        <v>125225051A</v>
      </c>
      <c r="D6275" t="s">
        <v>4</v>
      </c>
    </row>
    <row r="6276" spans="1:4" outlineLevel="1" x14ac:dyDescent="0.25">
      <c r="A6276" t="s">
        <v>724</v>
      </c>
      <c r="B6276" t="s">
        <v>13</v>
      </c>
      <c r="C6276" s="1" t="str">
        <f>HYPERLINK("http://продеталь.рф/search.html?article=TY2802000R0000","TY2802000R0000")</f>
        <v>TY2802000R0000</v>
      </c>
      <c r="D6276" t="s">
        <v>9</v>
      </c>
    </row>
    <row r="6277" spans="1:4" x14ac:dyDescent="0.25">
      <c r="A6277" t="s">
        <v>725</v>
      </c>
      <c r="B6277" s="2" t="s">
        <v>725</v>
      </c>
      <c r="C6277" s="2"/>
      <c r="D6277" s="2"/>
    </row>
    <row r="6278" spans="1:4" outlineLevel="1" x14ac:dyDescent="0.25">
      <c r="A6278" t="s">
        <v>725</v>
      </c>
      <c r="B6278" t="s">
        <v>11</v>
      </c>
      <c r="C6278" s="1" t="str">
        <f>HYPERLINK("http://продеталь.рф/search.html?article=TY04280BA","TY04280BA")</f>
        <v>TY04280BA</v>
      </c>
      <c r="D6278" t="s">
        <v>2</v>
      </c>
    </row>
    <row r="6279" spans="1:4" outlineLevel="1" x14ac:dyDescent="0.25">
      <c r="A6279" t="s">
        <v>725</v>
      </c>
      <c r="B6279" t="s">
        <v>11</v>
      </c>
      <c r="C6279" s="1" t="str">
        <f>HYPERLINK("http://продеталь.рф/search.html?article=TY04342BC","TY04342BC")</f>
        <v>TY04342BC</v>
      </c>
      <c r="D6279" t="s">
        <v>2</v>
      </c>
    </row>
    <row r="6280" spans="1:4" outlineLevel="1" x14ac:dyDescent="0.25">
      <c r="A6280" t="s">
        <v>725</v>
      </c>
      <c r="B6280" t="s">
        <v>15</v>
      </c>
      <c r="C6280" s="1" t="str">
        <f>HYPERLINK("http://продеталь.рф/search.html?article=TYM1156AL","TYM1156AL")</f>
        <v>TYM1156AL</v>
      </c>
      <c r="D6280" t="s">
        <v>2</v>
      </c>
    </row>
    <row r="6281" spans="1:4" outlineLevel="1" x14ac:dyDescent="0.25">
      <c r="A6281" t="s">
        <v>725</v>
      </c>
      <c r="B6281" t="s">
        <v>15</v>
      </c>
      <c r="C6281" s="1" t="str">
        <f>HYPERLINK("http://продеталь.рф/search.html?article=TYM1156AR","TYM1156AR")</f>
        <v>TYM1156AR</v>
      </c>
      <c r="D6281" t="s">
        <v>2</v>
      </c>
    </row>
    <row r="6282" spans="1:4" outlineLevel="1" x14ac:dyDescent="0.25">
      <c r="A6282" t="s">
        <v>725</v>
      </c>
      <c r="B6282" t="s">
        <v>15</v>
      </c>
      <c r="C6282" s="1" t="str">
        <f>HYPERLINK("http://продеталь.рф/search.html?article=VTYM1026EL","VTYM1026EL")</f>
        <v>VTYM1026EL</v>
      </c>
      <c r="D6282" t="s">
        <v>6</v>
      </c>
    </row>
    <row r="6283" spans="1:4" outlineLevel="1" x14ac:dyDescent="0.25">
      <c r="A6283" t="s">
        <v>725</v>
      </c>
      <c r="B6283" t="s">
        <v>74</v>
      </c>
      <c r="C6283" s="1" t="str">
        <f>HYPERLINK("http://продеталь.рф/search.html?article=TY66043AAS","TY66043AAS")</f>
        <v>TY66043AAS</v>
      </c>
      <c r="D6283" t="s">
        <v>2</v>
      </c>
    </row>
    <row r="6284" spans="1:4" outlineLevel="1" x14ac:dyDescent="0.25">
      <c r="A6284" t="s">
        <v>725</v>
      </c>
      <c r="B6284" t="s">
        <v>1</v>
      </c>
      <c r="C6284" s="1" t="str">
        <f>HYPERLINK("http://продеталь.рф/search.html?article=PTY20141A","PTY20141A")</f>
        <v>PTY20141A</v>
      </c>
      <c r="D6284" t="s">
        <v>6</v>
      </c>
    </row>
    <row r="6285" spans="1:4" outlineLevel="1" x14ac:dyDescent="0.25">
      <c r="A6285" t="s">
        <v>725</v>
      </c>
      <c r="B6285" t="s">
        <v>84</v>
      </c>
      <c r="C6285" s="1" t="str">
        <f>HYPERLINK("http://продеталь.рф/search.html?article=PTY46385A","PTY46385A")</f>
        <v>PTY46385A</v>
      </c>
      <c r="D6285" t="s">
        <v>6</v>
      </c>
    </row>
    <row r="6286" spans="1:4" outlineLevel="1" x14ac:dyDescent="0.25">
      <c r="A6286" t="s">
        <v>725</v>
      </c>
      <c r="B6286" t="s">
        <v>84</v>
      </c>
      <c r="C6286" s="1" t="str">
        <f>HYPERLINK("http://продеталь.рф/search.html?article=PTY43385AR","PTY43385AR")</f>
        <v>PTY43385AR</v>
      </c>
      <c r="D6286" t="s">
        <v>6</v>
      </c>
    </row>
    <row r="6287" spans="1:4" outlineLevel="1" x14ac:dyDescent="0.25">
      <c r="A6287" t="s">
        <v>725</v>
      </c>
      <c r="B6287" t="s">
        <v>84</v>
      </c>
      <c r="C6287" s="1" t="str">
        <f>HYPERLINK("http://продеталь.рф/search.html?article=PTY43385AL","PTY43385AL")</f>
        <v>PTY43385AL</v>
      </c>
      <c r="D6287" t="s">
        <v>6</v>
      </c>
    </row>
    <row r="6288" spans="1:4" outlineLevel="1" x14ac:dyDescent="0.25">
      <c r="A6288" t="s">
        <v>725</v>
      </c>
      <c r="B6288" t="s">
        <v>24</v>
      </c>
      <c r="C6288" s="1" t="str">
        <f>HYPERLINK("http://продеталь.рф/search.html?article=PTY10214AL","PTY10214AL")</f>
        <v>PTY10214AL</v>
      </c>
      <c r="D6288" t="s">
        <v>6</v>
      </c>
    </row>
    <row r="6289" spans="1:4" outlineLevel="1" x14ac:dyDescent="0.25">
      <c r="A6289" t="s">
        <v>725</v>
      </c>
      <c r="B6289" t="s">
        <v>26</v>
      </c>
      <c r="C6289" s="1" t="str">
        <f>HYPERLINK("http://продеталь.рф/search.html?article=PTY04265MA","PTY04265MA")</f>
        <v>PTY04265MA</v>
      </c>
      <c r="D6289" t="s">
        <v>6</v>
      </c>
    </row>
    <row r="6290" spans="1:4" outlineLevel="1" x14ac:dyDescent="0.25">
      <c r="A6290" t="s">
        <v>725</v>
      </c>
      <c r="B6290" t="s">
        <v>51</v>
      </c>
      <c r="C6290" s="1" t="str">
        <f>HYPERLINK("http://продеталь.рф/search.html?article=PTY34000A","PTY34000A")</f>
        <v>PTY34000A</v>
      </c>
      <c r="D6290" t="s">
        <v>6</v>
      </c>
    </row>
    <row r="6291" spans="1:4" outlineLevel="1" x14ac:dyDescent="0.25">
      <c r="A6291" t="s">
        <v>725</v>
      </c>
      <c r="B6291" t="s">
        <v>3</v>
      </c>
      <c r="C6291" s="1" t="str">
        <f>HYPERLINK("http://продеталь.рф/search.html?article=ZTY1197DR","ZTY1197DR")</f>
        <v>ZTY1197DR</v>
      </c>
      <c r="D6291" t="s">
        <v>6</v>
      </c>
    </row>
    <row r="6292" spans="1:4" outlineLevel="1" x14ac:dyDescent="0.25">
      <c r="A6292" t="s">
        <v>725</v>
      </c>
      <c r="B6292" t="s">
        <v>3</v>
      </c>
      <c r="C6292" s="1" t="str">
        <f>HYPERLINK("http://продеталь.рф/search.html?article=201531052","201531052")</f>
        <v>201531052</v>
      </c>
      <c r="D6292" t="s">
        <v>4</v>
      </c>
    </row>
    <row r="6293" spans="1:4" outlineLevel="1" x14ac:dyDescent="0.25">
      <c r="A6293" t="s">
        <v>725</v>
      </c>
      <c r="B6293" t="s">
        <v>5</v>
      </c>
      <c r="C6293" s="1" t="str">
        <f>HYPERLINK("http://продеталь.рф/search.html?article=TY11214AL","TY11214AL")</f>
        <v>TY11214AL</v>
      </c>
      <c r="D6293" t="s">
        <v>2</v>
      </c>
    </row>
    <row r="6294" spans="1:4" outlineLevel="1" x14ac:dyDescent="0.25">
      <c r="A6294" t="s">
        <v>725</v>
      </c>
      <c r="B6294" t="s">
        <v>28</v>
      </c>
      <c r="C6294" s="1" t="str">
        <f>HYPERLINK("http://продеталь.рф/search.html?article=RA64678AT","RA64678AT")</f>
        <v>RA64678AT</v>
      </c>
      <c r="D6294" t="s">
        <v>6</v>
      </c>
    </row>
    <row r="6295" spans="1:4" outlineLevel="1" x14ac:dyDescent="0.25">
      <c r="A6295" t="s">
        <v>725</v>
      </c>
      <c r="B6295" t="s">
        <v>55</v>
      </c>
      <c r="C6295" s="1" t="str">
        <f>HYPERLINK("http://продеталь.рф/search.html?article=TYY3093S0","TYY3093S0")</f>
        <v>TYY3093S0</v>
      </c>
      <c r="D6295" t="s">
        <v>9</v>
      </c>
    </row>
    <row r="6296" spans="1:4" outlineLevel="1" x14ac:dyDescent="0.25">
      <c r="A6296" t="s">
        <v>725</v>
      </c>
      <c r="B6296" t="s">
        <v>30</v>
      </c>
      <c r="C6296" s="1" t="str">
        <f>HYPERLINK("http://продеталь.рф/search.html?article=BP0326R","BP0326R")</f>
        <v>BP0326R</v>
      </c>
      <c r="D6296" t="s">
        <v>36</v>
      </c>
    </row>
    <row r="6297" spans="1:4" outlineLevel="1" x14ac:dyDescent="0.25">
      <c r="A6297" t="s">
        <v>725</v>
      </c>
      <c r="B6297" t="s">
        <v>40</v>
      </c>
      <c r="C6297" s="1" t="str">
        <f>HYPERLINK("http://продеталь.рф/search.html?article=TY07359GAW","TY07359GAW")</f>
        <v>TY07359GAW</v>
      </c>
      <c r="D6297" t="s">
        <v>2</v>
      </c>
    </row>
    <row r="6298" spans="1:4" outlineLevel="1" x14ac:dyDescent="0.25">
      <c r="A6298" t="s">
        <v>725</v>
      </c>
      <c r="B6298" t="s">
        <v>12</v>
      </c>
      <c r="C6298" s="1" t="str">
        <f>HYPERLINK("http://продеталь.рф/search.html?article=GD4544D","GD4544D")</f>
        <v>GD4544D</v>
      </c>
      <c r="D6298" t="s">
        <v>2</v>
      </c>
    </row>
    <row r="6299" spans="1:4" outlineLevel="1" x14ac:dyDescent="0.25">
      <c r="A6299" t="s">
        <v>725</v>
      </c>
      <c r="B6299" t="s">
        <v>12</v>
      </c>
      <c r="C6299" s="1" t="str">
        <f>HYPERLINK("http://продеталь.рф/search.html?article=GD4544E","GD4544E")</f>
        <v>GD4544E</v>
      </c>
      <c r="D6299" t="s">
        <v>2</v>
      </c>
    </row>
    <row r="6300" spans="1:4" outlineLevel="1" x14ac:dyDescent="0.25">
      <c r="A6300" t="s">
        <v>725</v>
      </c>
      <c r="B6300" t="s">
        <v>13</v>
      </c>
      <c r="C6300" s="1" t="str">
        <f>HYPERLINK("http://продеталь.рф/search.html?article=PTY44385A","PTY44385A")</f>
        <v>PTY44385A</v>
      </c>
      <c r="D6300" t="s">
        <v>6</v>
      </c>
    </row>
    <row r="6301" spans="1:4" outlineLevel="1" x14ac:dyDescent="0.25">
      <c r="A6301" t="s">
        <v>725</v>
      </c>
      <c r="B6301" t="s">
        <v>726</v>
      </c>
      <c r="C6301" s="1" t="str">
        <f>HYPERLINK("http://продеталь.рф/search.html?article=201027MA1","201027MA1")</f>
        <v>201027MA1</v>
      </c>
      <c r="D6301" t="s">
        <v>4</v>
      </c>
    </row>
    <row r="6302" spans="1:4" x14ac:dyDescent="0.25">
      <c r="A6302" t="s">
        <v>727</v>
      </c>
      <c r="B6302" s="2" t="s">
        <v>727</v>
      </c>
      <c r="C6302" s="2"/>
      <c r="D6302" s="2"/>
    </row>
    <row r="6303" spans="1:4" outlineLevel="1" x14ac:dyDescent="0.25">
      <c r="A6303" t="s">
        <v>727</v>
      </c>
      <c r="B6303" t="s">
        <v>40</v>
      </c>
      <c r="C6303" s="1" t="str">
        <f>HYPERLINK("http://продеталь.рф/search.html?article=4544M","4544M")</f>
        <v>4544M</v>
      </c>
      <c r="D6303" t="s">
        <v>36</v>
      </c>
    </row>
    <row r="6304" spans="1:4" outlineLevel="1" x14ac:dyDescent="0.25">
      <c r="A6304" t="s">
        <v>727</v>
      </c>
      <c r="B6304" t="s">
        <v>40</v>
      </c>
      <c r="C6304" s="1" t="str">
        <f>HYPERLINK("http://продеталь.рф/search.html?article=TY07548GA","TY07548GA")</f>
        <v>TY07548GA</v>
      </c>
      <c r="D6304" t="s">
        <v>2</v>
      </c>
    </row>
    <row r="6305" spans="1:4" x14ac:dyDescent="0.25">
      <c r="A6305" t="s">
        <v>728</v>
      </c>
      <c r="B6305" s="2" t="s">
        <v>728</v>
      </c>
      <c r="C6305" s="2"/>
      <c r="D6305" s="2"/>
    </row>
    <row r="6306" spans="1:4" outlineLevel="1" x14ac:dyDescent="0.25">
      <c r="A6306" t="s">
        <v>728</v>
      </c>
      <c r="B6306" t="s">
        <v>11</v>
      </c>
      <c r="C6306" s="1" t="str">
        <f>HYPERLINK("http://продеталь.рф/search.html?article=SC25000000100","SC25000000100")</f>
        <v>SC25000000100</v>
      </c>
      <c r="D6306" t="s">
        <v>9</v>
      </c>
    </row>
    <row r="6307" spans="1:4" x14ac:dyDescent="0.25">
      <c r="A6307" t="s">
        <v>729</v>
      </c>
      <c r="B6307" s="2" t="s">
        <v>729</v>
      </c>
      <c r="C6307" s="2"/>
      <c r="D6307" s="2"/>
    </row>
    <row r="6308" spans="1:4" outlineLevel="1" x14ac:dyDescent="0.25">
      <c r="A6308" t="s">
        <v>729</v>
      </c>
      <c r="B6308" t="s">
        <v>24</v>
      </c>
      <c r="C6308" s="1" t="str">
        <f>HYPERLINK("http://продеталь.рф/search.html?article=PTY10211AL","PTY10211AL")</f>
        <v>PTY10211AL</v>
      </c>
      <c r="D6308" t="s">
        <v>6</v>
      </c>
    </row>
    <row r="6309" spans="1:4" outlineLevel="1" x14ac:dyDescent="0.25">
      <c r="A6309" t="s">
        <v>729</v>
      </c>
      <c r="B6309" t="s">
        <v>27</v>
      </c>
      <c r="C6309" s="1" t="str">
        <f>HYPERLINK("http://продеталь.рф/search.html?article=SC01000900000","SC01000900000")</f>
        <v>SC01000900000</v>
      </c>
      <c r="D6309" t="s">
        <v>9</v>
      </c>
    </row>
    <row r="6310" spans="1:4" outlineLevel="1" x14ac:dyDescent="0.25">
      <c r="A6310" t="s">
        <v>729</v>
      </c>
      <c r="B6310" t="s">
        <v>5</v>
      </c>
      <c r="C6310" s="1" t="str">
        <f>HYPERLINK("http://продеталь.рф/search.html?article=TY11211AR","TY11211AR")</f>
        <v>TY11211AR</v>
      </c>
      <c r="D6310" t="s">
        <v>2</v>
      </c>
    </row>
    <row r="6311" spans="1:4" x14ac:dyDescent="0.25">
      <c r="A6311" t="s">
        <v>730</v>
      </c>
      <c r="B6311" s="2" t="s">
        <v>730</v>
      </c>
      <c r="C6311" s="2"/>
      <c r="D6311" s="2"/>
    </row>
    <row r="6312" spans="1:4" outlineLevel="1" x14ac:dyDescent="0.25">
      <c r="A6312" t="s">
        <v>730</v>
      </c>
      <c r="B6312" t="s">
        <v>11</v>
      </c>
      <c r="C6312" s="1" t="str">
        <f>HYPERLINK("http://продеталь.рф/search.html?article=PTY04273BA","PTY04273BA")</f>
        <v>PTY04273BA</v>
      </c>
      <c r="D6312" t="s">
        <v>6</v>
      </c>
    </row>
    <row r="6313" spans="1:4" outlineLevel="1" x14ac:dyDescent="0.25">
      <c r="A6313" t="s">
        <v>730</v>
      </c>
      <c r="B6313" t="s">
        <v>3</v>
      </c>
      <c r="C6313" s="1" t="str">
        <f>HYPERLINK("http://продеталь.рф/search.html?article=206695011A","206695011A")</f>
        <v>206695011A</v>
      </c>
      <c r="D6313" t="s">
        <v>4</v>
      </c>
    </row>
    <row r="6314" spans="1:4" outlineLevel="1" x14ac:dyDescent="0.25">
      <c r="A6314" t="s">
        <v>730</v>
      </c>
      <c r="B6314" t="s">
        <v>5</v>
      </c>
      <c r="C6314" s="1" t="str">
        <f>HYPERLINK("http://продеталь.рф/search.html?article=SC50016L2","SC50016L2")</f>
        <v>SC50016L2</v>
      </c>
      <c r="D6314" t="s">
        <v>9</v>
      </c>
    </row>
    <row r="6315" spans="1:4" outlineLevel="1" x14ac:dyDescent="0.25">
      <c r="A6315" t="s">
        <v>730</v>
      </c>
      <c r="B6315" t="s">
        <v>5</v>
      </c>
      <c r="C6315" s="1" t="str">
        <f>HYPERLINK("http://продеталь.рф/search.html?article=SC50016L1","SC50016L1")</f>
        <v>SC50016L1</v>
      </c>
      <c r="D6315" t="s">
        <v>9</v>
      </c>
    </row>
    <row r="6316" spans="1:4" outlineLevel="1" x14ac:dyDescent="0.25">
      <c r="A6316" t="s">
        <v>730</v>
      </c>
      <c r="B6316" t="s">
        <v>12</v>
      </c>
      <c r="C6316" s="1" t="str">
        <f>HYPERLINK("http://продеталь.рф/search.html?article=GD4195","GD4195")</f>
        <v>GD4195</v>
      </c>
      <c r="D6316" t="s">
        <v>2</v>
      </c>
    </row>
    <row r="6317" spans="1:4" x14ac:dyDescent="0.25">
      <c r="A6317" t="s">
        <v>731</v>
      </c>
      <c r="B6317" s="2" t="s">
        <v>731</v>
      </c>
      <c r="C6317" s="2"/>
      <c r="D6317" s="2"/>
    </row>
    <row r="6318" spans="1:4" outlineLevel="1" x14ac:dyDescent="0.25">
      <c r="A6318" t="s">
        <v>731</v>
      </c>
      <c r="B6318" t="s">
        <v>11</v>
      </c>
      <c r="C6318" s="1" t="str">
        <f>HYPERLINK("http://продеталь.рф/search.html?article=TY75200003100","TY75200003100")</f>
        <v>TY75200003100</v>
      </c>
      <c r="D6318" t="s">
        <v>9</v>
      </c>
    </row>
    <row r="6319" spans="1:4" outlineLevel="1" x14ac:dyDescent="0.25">
      <c r="A6319" t="s">
        <v>731</v>
      </c>
      <c r="B6319" t="s">
        <v>11</v>
      </c>
      <c r="C6319" s="1" t="str">
        <f>HYPERLINK("http://продеталь.рф/search.html?article=TY04296BA","TY04296BA")</f>
        <v>TY04296BA</v>
      </c>
      <c r="D6319" t="s">
        <v>2</v>
      </c>
    </row>
    <row r="6320" spans="1:4" outlineLevel="1" x14ac:dyDescent="0.25">
      <c r="A6320" t="s">
        <v>731</v>
      </c>
      <c r="B6320" t="s">
        <v>11</v>
      </c>
      <c r="C6320" s="1" t="str">
        <f>HYPERLINK("http://продеталь.рф/search.html?article=TY75200005000","TY75200005000")</f>
        <v>TY75200005000</v>
      </c>
      <c r="D6320" t="s">
        <v>9</v>
      </c>
    </row>
    <row r="6321" spans="1:4" outlineLevel="1" x14ac:dyDescent="0.25">
      <c r="A6321" t="s">
        <v>731</v>
      </c>
      <c r="B6321" t="s">
        <v>15</v>
      </c>
      <c r="C6321" s="1" t="str">
        <f>HYPERLINK("http://продеталь.рф/search.html?article=TYR6941A1","TYR6941A1")</f>
        <v>TYR6941A1</v>
      </c>
      <c r="D6321" t="s">
        <v>9</v>
      </c>
    </row>
    <row r="6322" spans="1:4" outlineLevel="1" x14ac:dyDescent="0.25">
      <c r="A6322" t="s">
        <v>731</v>
      </c>
      <c r="B6322" t="s">
        <v>35</v>
      </c>
      <c r="C6322" s="1" t="str">
        <f>HYPERLINK("http://продеталь.рф/search.html?article=PTY33048A","PTY33048A")</f>
        <v>PTY33048A</v>
      </c>
      <c r="D6322" t="s">
        <v>6</v>
      </c>
    </row>
    <row r="6323" spans="1:4" outlineLevel="1" x14ac:dyDescent="0.25">
      <c r="A6323" t="s">
        <v>731</v>
      </c>
      <c r="B6323" t="s">
        <v>1</v>
      </c>
      <c r="C6323" s="1" t="str">
        <f>HYPERLINK("http://продеталь.рф/search.html?article=TY20115A","TY20115A")</f>
        <v>TY20115A</v>
      </c>
      <c r="D6323" t="s">
        <v>99</v>
      </c>
    </row>
    <row r="6324" spans="1:4" outlineLevel="1" x14ac:dyDescent="0.25">
      <c r="A6324" t="s">
        <v>731</v>
      </c>
      <c r="B6324" t="s">
        <v>84</v>
      </c>
      <c r="C6324" s="1" t="str">
        <f>HYPERLINK("http://продеталь.рф/search.html?article=TY43322AL","TY43322AL")</f>
        <v>TY43322AL</v>
      </c>
      <c r="D6324" t="s">
        <v>2</v>
      </c>
    </row>
    <row r="6325" spans="1:4" outlineLevel="1" x14ac:dyDescent="0.25">
      <c r="A6325" t="s">
        <v>731</v>
      </c>
      <c r="B6325" t="s">
        <v>84</v>
      </c>
      <c r="C6325" s="1" t="str">
        <f>HYPERLINK("http://продеталь.рф/search.html?article=TY43322AR","TY43322AR")</f>
        <v>TY43322AR</v>
      </c>
      <c r="D6325" t="s">
        <v>2</v>
      </c>
    </row>
    <row r="6326" spans="1:4" outlineLevel="1" x14ac:dyDescent="0.25">
      <c r="A6326" t="s">
        <v>731</v>
      </c>
      <c r="B6326" t="s">
        <v>103</v>
      </c>
      <c r="C6326" s="1" t="str">
        <f>HYPERLINK("http://продеталь.рф/search.html?article=TY752000G1R00","TY752000G1R00")</f>
        <v>TY752000G1R00</v>
      </c>
      <c r="D6326" t="s">
        <v>9</v>
      </c>
    </row>
    <row r="6327" spans="1:4" outlineLevel="1" x14ac:dyDescent="0.25">
      <c r="A6327" t="s">
        <v>731</v>
      </c>
      <c r="B6327" t="s">
        <v>3</v>
      </c>
      <c r="C6327" s="1" t="str">
        <f>HYPERLINK("http://продеталь.рф/search.html?article=20651400","20651400")</f>
        <v>20651400</v>
      </c>
      <c r="D6327" t="s">
        <v>4</v>
      </c>
    </row>
    <row r="6328" spans="1:4" outlineLevel="1" x14ac:dyDescent="0.25">
      <c r="A6328" t="s">
        <v>731</v>
      </c>
      <c r="B6328" t="s">
        <v>3</v>
      </c>
      <c r="C6328" s="1" t="str">
        <f>HYPERLINK("http://продеталь.рф/search.html?article=20651300","20651300")</f>
        <v>20651300</v>
      </c>
      <c r="D6328" t="s">
        <v>4</v>
      </c>
    </row>
    <row r="6329" spans="1:4" outlineLevel="1" x14ac:dyDescent="0.25">
      <c r="A6329" t="s">
        <v>731</v>
      </c>
      <c r="B6329" t="s">
        <v>5</v>
      </c>
      <c r="C6329" s="1" t="str">
        <f>HYPERLINK("http://продеталь.рф/search.html?article=TY11174AL","TY11174AL")</f>
        <v>TY11174AL</v>
      </c>
      <c r="D6329" t="s">
        <v>2</v>
      </c>
    </row>
    <row r="6330" spans="1:4" outlineLevel="1" x14ac:dyDescent="0.25">
      <c r="A6330" t="s">
        <v>731</v>
      </c>
      <c r="B6330" t="s">
        <v>5</v>
      </c>
      <c r="C6330" s="1" t="str">
        <f>HYPERLINK("http://продеталь.рф/search.html?article=TY11174AR","TY11174AR")</f>
        <v>TY11174AR</v>
      </c>
      <c r="D6330" t="s">
        <v>2</v>
      </c>
    </row>
    <row r="6331" spans="1:4" outlineLevel="1" x14ac:dyDescent="0.25">
      <c r="A6331" t="s">
        <v>731</v>
      </c>
      <c r="B6331" t="s">
        <v>5</v>
      </c>
      <c r="C6331" s="1" t="str">
        <f>HYPERLINK("http://продеталь.рф/search.html?article=TY11174BL","TY11174BL")</f>
        <v>TY11174BL</v>
      </c>
      <c r="D6331" t="s">
        <v>2</v>
      </c>
    </row>
    <row r="6332" spans="1:4" outlineLevel="1" x14ac:dyDescent="0.25">
      <c r="A6332" t="s">
        <v>731</v>
      </c>
      <c r="B6332" t="s">
        <v>5</v>
      </c>
      <c r="C6332" s="1" t="str">
        <f>HYPERLINK("http://продеталь.рф/search.html?article=TY11174BR","TY11174BR")</f>
        <v>TY11174BR</v>
      </c>
      <c r="D6332" t="s">
        <v>2</v>
      </c>
    </row>
    <row r="6333" spans="1:4" x14ac:dyDescent="0.25">
      <c r="A6333" t="s">
        <v>732</v>
      </c>
      <c r="B6333" s="2" t="s">
        <v>732</v>
      </c>
      <c r="C6333" s="2"/>
      <c r="D6333" s="2"/>
    </row>
    <row r="6334" spans="1:4" outlineLevel="1" x14ac:dyDescent="0.25">
      <c r="A6334" t="s">
        <v>732</v>
      </c>
      <c r="B6334" t="s">
        <v>11</v>
      </c>
      <c r="C6334" s="1" t="str">
        <f>HYPERLINK("http://продеталь.рф/search.html?article=TY04366BA","TY04366BA")</f>
        <v>TY04366BA</v>
      </c>
      <c r="D6334" t="s">
        <v>2</v>
      </c>
    </row>
    <row r="6335" spans="1:4" outlineLevel="1" x14ac:dyDescent="0.25">
      <c r="A6335" t="s">
        <v>732</v>
      </c>
      <c r="B6335" t="s">
        <v>3</v>
      </c>
      <c r="C6335" s="1" t="str">
        <f>HYPERLINK("http://продеталь.рф/search.html?article=209137001A","209137001A")</f>
        <v>209137001A</v>
      </c>
      <c r="D6335" t="s">
        <v>4</v>
      </c>
    </row>
    <row r="6336" spans="1:4" outlineLevel="1" x14ac:dyDescent="0.25">
      <c r="A6336" t="s">
        <v>732</v>
      </c>
      <c r="B6336" t="s">
        <v>40</v>
      </c>
      <c r="C6336" s="1" t="str">
        <f>HYPERLINK("http://продеталь.рф/search.html?article=PTY07446GA","PTY07446GA")</f>
        <v>PTY07446GA</v>
      </c>
      <c r="D6336" t="s">
        <v>6</v>
      </c>
    </row>
    <row r="6337" spans="1:4" outlineLevel="1" x14ac:dyDescent="0.25">
      <c r="A6337" t="s">
        <v>732</v>
      </c>
      <c r="B6337" t="s">
        <v>12</v>
      </c>
      <c r="C6337" s="1" t="str">
        <f>HYPERLINK("http://продеталь.рф/search.html?article=TY07449GA","TY07449GA")</f>
        <v>TY07449GA</v>
      </c>
      <c r="D6337" t="s">
        <v>2</v>
      </c>
    </row>
    <row r="6338" spans="1:4" x14ac:dyDescent="0.25">
      <c r="A6338" t="s">
        <v>733</v>
      </c>
      <c r="B6338" s="2" t="s">
        <v>733</v>
      </c>
      <c r="C6338" s="2"/>
      <c r="D6338" s="2"/>
    </row>
    <row r="6339" spans="1:4" outlineLevel="1" x14ac:dyDescent="0.25">
      <c r="A6339" t="s">
        <v>733</v>
      </c>
      <c r="B6339" t="s">
        <v>79</v>
      </c>
      <c r="C6339" s="1" t="str">
        <f>HYPERLINK("http://продеталь.рф/search.html?article=682LXR001","682LXR001")</f>
        <v>682LXR001</v>
      </c>
      <c r="D6339" t="s">
        <v>4</v>
      </c>
    </row>
    <row r="6340" spans="1:4" x14ac:dyDescent="0.25">
      <c r="A6340" t="s">
        <v>734</v>
      </c>
      <c r="B6340" s="2" t="s">
        <v>734</v>
      </c>
      <c r="C6340" s="2"/>
      <c r="D6340" s="2"/>
    </row>
    <row r="6341" spans="1:4" outlineLevel="1" x14ac:dyDescent="0.25">
      <c r="A6341" t="s">
        <v>734</v>
      </c>
      <c r="B6341" t="s">
        <v>11</v>
      </c>
      <c r="C6341" s="1" t="str">
        <f>HYPERLINK("http://продеталь.рф/search.html?article=TY04241BA","TY04241BA")</f>
        <v>TY04241BA</v>
      </c>
      <c r="D6341" t="s">
        <v>2</v>
      </c>
    </row>
    <row r="6342" spans="1:4" outlineLevel="1" x14ac:dyDescent="0.25">
      <c r="A6342" t="s">
        <v>734</v>
      </c>
      <c r="B6342" t="s">
        <v>1</v>
      </c>
      <c r="C6342" s="1" t="str">
        <f>HYPERLINK("http://продеталь.рф/search.html?article=TY38015J0","TY38015J0")</f>
        <v>TY38015J0</v>
      </c>
      <c r="D6342" t="s">
        <v>9</v>
      </c>
    </row>
    <row r="6343" spans="1:4" outlineLevel="1" x14ac:dyDescent="0.25">
      <c r="A6343" t="s">
        <v>734</v>
      </c>
      <c r="B6343" t="s">
        <v>24</v>
      </c>
      <c r="C6343" s="1" t="str">
        <f>HYPERLINK("http://продеталь.рф/search.html?article=TY10177AL","TY10177AL")</f>
        <v>TY10177AL</v>
      </c>
      <c r="D6343" t="s">
        <v>2</v>
      </c>
    </row>
    <row r="6344" spans="1:4" outlineLevel="1" x14ac:dyDescent="0.25">
      <c r="A6344" t="s">
        <v>734</v>
      </c>
      <c r="B6344" t="s">
        <v>24</v>
      </c>
      <c r="C6344" s="1" t="str">
        <f>HYPERLINK("http://продеталь.рф/search.html?article=TY10177AR","TY10177AR")</f>
        <v>TY10177AR</v>
      </c>
      <c r="D6344" t="s">
        <v>2</v>
      </c>
    </row>
    <row r="6345" spans="1:4" outlineLevel="1" x14ac:dyDescent="0.25">
      <c r="A6345" t="s">
        <v>734</v>
      </c>
      <c r="B6345" t="s">
        <v>3</v>
      </c>
      <c r="C6345" s="1" t="str">
        <f>HYPERLINK("http://продеталь.рф/search.html?article=20651600","20651600")</f>
        <v>20651600</v>
      </c>
      <c r="D6345" t="s">
        <v>4</v>
      </c>
    </row>
    <row r="6346" spans="1:4" outlineLevel="1" x14ac:dyDescent="0.25">
      <c r="A6346" t="s">
        <v>734</v>
      </c>
      <c r="B6346" t="s">
        <v>3</v>
      </c>
      <c r="C6346" s="1" t="str">
        <f>HYPERLINK("http://продеталь.рф/search.html?article=20651500","20651500")</f>
        <v>20651500</v>
      </c>
      <c r="D6346" t="s">
        <v>4</v>
      </c>
    </row>
    <row r="6347" spans="1:4" outlineLevel="1" x14ac:dyDescent="0.25">
      <c r="A6347" t="s">
        <v>734</v>
      </c>
      <c r="B6347" t="s">
        <v>19</v>
      </c>
      <c r="C6347" s="1" t="str">
        <f>HYPERLINK("http://продеталь.рф/search.html?article=19562100","19562100")</f>
        <v>19562100</v>
      </c>
      <c r="D6347" t="s">
        <v>4</v>
      </c>
    </row>
    <row r="6348" spans="1:4" outlineLevel="1" x14ac:dyDescent="0.25">
      <c r="A6348" t="s">
        <v>734</v>
      </c>
      <c r="B6348" t="s">
        <v>12</v>
      </c>
      <c r="C6348" s="1" t="str">
        <f>HYPERLINK("http://продеталь.рф/search.html?article=TY07329GA","TY07329GA")</f>
        <v>TY07329GA</v>
      </c>
      <c r="D6348" t="s">
        <v>2</v>
      </c>
    </row>
    <row r="6349" spans="1:4" outlineLevel="1" x14ac:dyDescent="0.25">
      <c r="A6349" t="s">
        <v>734</v>
      </c>
      <c r="B6349" t="s">
        <v>13</v>
      </c>
      <c r="C6349" s="1" t="str">
        <f>HYPERLINK("http://продеталь.рф/search.html?article=TY380000RA000","TY380000RA000")</f>
        <v>TY380000RA000</v>
      </c>
      <c r="D6349" t="s">
        <v>9</v>
      </c>
    </row>
    <row r="6350" spans="1:4" x14ac:dyDescent="0.25">
      <c r="A6350" t="s">
        <v>735</v>
      </c>
      <c r="B6350" s="2" t="s">
        <v>735</v>
      </c>
      <c r="C6350" s="2"/>
      <c r="D6350" s="2"/>
    </row>
    <row r="6351" spans="1:4" outlineLevel="1" x14ac:dyDescent="0.25">
      <c r="A6351" t="s">
        <v>735</v>
      </c>
      <c r="B6351" t="s">
        <v>3</v>
      </c>
      <c r="C6351" s="1" t="str">
        <f>HYPERLINK("http://продеталь.рф/search.html?article=203694082","203694082")</f>
        <v>203694082</v>
      </c>
      <c r="D6351" t="s">
        <v>4</v>
      </c>
    </row>
    <row r="6352" spans="1:4" outlineLevel="1" x14ac:dyDescent="0.25">
      <c r="A6352" t="s">
        <v>735</v>
      </c>
      <c r="B6352" t="s">
        <v>3</v>
      </c>
      <c r="C6352" s="1" t="str">
        <f>HYPERLINK("http://продеталь.рф/search.html?article=203693082","203693082")</f>
        <v>203693082</v>
      </c>
      <c r="D6352" t="s">
        <v>4</v>
      </c>
    </row>
    <row r="6353" spans="1:4" x14ac:dyDescent="0.25">
      <c r="A6353" t="s">
        <v>736</v>
      </c>
      <c r="B6353" s="2" t="s">
        <v>736</v>
      </c>
      <c r="C6353" s="2"/>
      <c r="D6353" s="2"/>
    </row>
    <row r="6354" spans="1:4" outlineLevel="1" x14ac:dyDescent="0.25">
      <c r="A6354" t="s">
        <v>736</v>
      </c>
      <c r="B6354" t="s">
        <v>11</v>
      </c>
      <c r="C6354" s="1" t="str">
        <f>HYPERLINK("http://продеталь.рф/search.html?article=TY55000000100","TY55000000100")</f>
        <v>TY55000000100</v>
      </c>
      <c r="D6354" t="s">
        <v>9</v>
      </c>
    </row>
    <row r="6355" spans="1:4" outlineLevel="1" x14ac:dyDescent="0.25">
      <c r="A6355" t="s">
        <v>736</v>
      </c>
      <c r="B6355" t="s">
        <v>15</v>
      </c>
      <c r="C6355" s="1" t="str">
        <f>HYPERLINK("http://продеталь.рф/search.html?article=TYM1181BL","TYM1181BL")</f>
        <v>TYM1181BL</v>
      </c>
      <c r="D6355" t="s">
        <v>2</v>
      </c>
    </row>
    <row r="6356" spans="1:4" outlineLevel="1" x14ac:dyDescent="0.25">
      <c r="A6356" t="s">
        <v>736</v>
      </c>
      <c r="B6356" t="s">
        <v>84</v>
      </c>
      <c r="C6356" s="1" t="str">
        <f>HYPERLINK("http://продеталь.рф/search.html?article=TY99109AR","TY99109AR")</f>
        <v>TY99109AR</v>
      </c>
      <c r="D6356" t="s">
        <v>2</v>
      </c>
    </row>
    <row r="6357" spans="1:4" outlineLevel="1" x14ac:dyDescent="0.25">
      <c r="A6357" t="s">
        <v>736</v>
      </c>
      <c r="B6357" t="s">
        <v>24</v>
      </c>
      <c r="C6357" s="1" t="str">
        <f>HYPERLINK("http://продеталь.рф/search.html?article=PTY10272AL","PTY10272AL")</f>
        <v>PTY10272AL</v>
      </c>
      <c r="D6357" t="s">
        <v>6</v>
      </c>
    </row>
    <row r="6358" spans="1:4" outlineLevel="1" x14ac:dyDescent="0.25">
      <c r="A6358" t="s">
        <v>736</v>
      </c>
      <c r="B6358" t="s">
        <v>27</v>
      </c>
      <c r="C6358" s="1" t="str">
        <f>HYPERLINK("http://продеталь.рф/search.html?article=PTY30107A","PTY30107A")</f>
        <v>PTY30107A</v>
      </c>
      <c r="D6358" t="s">
        <v>6</v>
      </c>
    </row>
    <row r="6359" spans="1:4" outlineLevel="1" x14ac:dyDescent="0.25">
      <c r="A6359" t="s">
        <v>736</v>
      </c>
      <c r="B6359" t="s">
        <v>30</v>
      </c>
      <c r="C6359" s="1" t="str">
        <f>HYPERLINK("http://продеталь.рф/search.html?article=TY550000G1R00","TY550000G1R00")</f>
        <v>TY550000G1R00</v>
      </c>
      <c r="D6359" t="s">
        <v>9</v>
      </c>
    </row>
    <row r="6360" spans="1:4" outlineLevel="1" x14ac:dyDescent="0.25">
      <c r="A6360" t="s">
        <v>736</v>
      </c>
      <c r="B6360" t="s">
        <v>12</v>
      </c>
      <c r="C6360" s="1" t="str">
        <f>HYPERLINK("http://продеталь.рф/search.html?article=PTY07295GB","PTY07295GB")</f>
        <v>PTY07295GB</v>
      </c>
      <c r="D6360" t="s">
        <v>6</v>
      </c>
    </row>
    <row r="6361" spans="1:4" x14ac:dyDescent="0.25">
      <c r="A6361" t="s">
        <v>737</v>
      </c>
      <c r="B6361" s="2" t="s">
        <v>737</v>
      </c>
      <c r="C6361" s="2"/>
      <c r="D6361" s="2"/>
    </row>
    <row r="6362" spans="1:4" outlineLevel="1" x14ac:dyDescent="0.25">
      <c r="A6362" t="s">
        <v>737</v>
      </c>
      <c r="B6362" t="s">
        <v>11</v>
      </c>
      <c r="C6362" s="1" t="str">
        <f>HYPERLINK("http://продеталь.рф/search.html?article=2303110","2303110")</f>
        <v>2303110</v>
      </c>
      <c r="D6362" t="s">
        <v>58</v>
      </c>
    </row>
    <row r="6363" spans="1:4" outlineLevel="1" x14ac:dyDescent="0.25">
      <c r="A6363" t="s">
        <v>737</v>
      </c>
      <c r="B6363" t="s">
        <v>11</v>
      </c>
      <c r="C6363" s="1" t="str">
        <f>HYPERLINK("http://продеталь.рф/search.html?article=TY04223BB","TY04223BB")</f>
        <v>TY04223BB</v>
      </c>
      <c r="D6363" t="s">
        <v>2</v>
      </c>
    </row>
    <row r="6364" spans="1:4" outlineLevel="1" x14ac:dyDescent="0.25">
      <c r="A6364" t="s">
        <v>737</v>
      </c>
      <c r="B6364" t="s">
        <v>15</v>
      </c>
      <c r="C6364" s="1" t="str">
        <f>HYPERLINK("http://продеталь.рф/search.html?article=3360020","3360020")</f>
        <v>3360020</v>
      </c>
      <c r="D6364" t="s">
        <v>4</v>
      </c>
    </row>
    <row r="6365" spans="1:4" outlineLevel="1" x14ac:dyDescent="0.25">
      <c r="A6365" t="s">
        <v>737</v>
      </c>
      <c r="B6365" t="s">
        <v>15</v>
      </c>
      <c r="C6365" s="1" t="str">
        <f>HYPERLINK("http://продеталь.рф/search.html?article=3360019","3360019")</f>
        <v>3360019</v>
      </c>
      <c r="D6365" t="s">
        <v>4</v>
      </c>
    </row>
    <row r="6366" spans="1:4" outlineLevel="1" x14ac:dyDescent="0.25">
      <c r="A6366" t="s">
        <v>737</v>
      </c>
      <c r="B6366" t="s">
        <v>79</v>
      </c>
      <c r="C6366" s="1" t="str">
        <f>HYPERLINK("http://продеталь.рф/search.html?article=TY01100401000","TY01100401000")</f>
        <v>TY01100401000</v>
      </c>
      <c r="D6366" t="s">
        <v>9</v>
      </c>
    </row>
    <row r="6367" spans="1:4" outlineLevel="1" x14ac:dyDescent="0.25">
      <c r="A6367" t="s">
        <v>737</v>
      </c>
      <c r="B6367" t="s">
        <v>101</v>
      </c>
      <c r="C6367" s="1" t="str">
        <f>HYPERLINK("http://продеталь.рф/search.html?article=TY99056CA","TY99056CA")</f>
        <v>TY99056CA</v>
      </c>
      <c r="D6367" t="s">
        <v>2</v>
      </c>
    </row>
    <row r="6368" spans="1:4" outlineLevel="1" x14ac:dyDescent="0.25">
      <c r="A6368" t="s">
        <v>737</v>
      </c>
      <c r="B6368" t="s">
        <v>23</v>
      </c>
      <c r="C6368" s="1" t="str">
        <f>HYPERLINK("http://продеталь.рф/search.html?article=11A272052B","11A272052B")</f>
        <v>11A272052B</v>
      </c>
      <c r="D6368" t="s">
        <v>4</v>
      </c>
    </row>
    <row r="6369" spans="1:4" outlineLevel="1" x14ac:dyDescent="0.25">
      <c r="A6369" t="s">
        <v>737</v>
      </c>
      <c r="B6369" t="s">
        <v>23</v>
      </c>
      <c r="C6369" s="1" t="str">
        <f>HYPERLINK("http://продеталь.рф/search.html?article=11A271052B","11A271052B")</f>
        <v>11A271052B</v>
      </c>
      <c r="D6369" t="s">
        <v>4</v>
      </c>
    </row>
    <row r="6370" spans="1:4" outlineLevel="1" x14ac:dyDescent="0.25">
      <c r="A6370" t="s">
        <v>737</v>
      </c>
      <c r="B6370" t="s">
        <v>444</v>
      </c>
      <c r="C6370" s="1" t="str">
        <f>HYPERLINK("http://продеталь.рф/search.html?article=TY01108100000","TY01108100000")</f>
        <v>TY01108100000</v>
      </c>
      <c r="D6370" t="s">
        <v>9</v>
      </c>
    </row>
    <row r="6371" spans="1:4" outlineLevel="1" x14ac:dyDescent="0.25">
      <c r="A6371" t="s">
        <v>737</v>
      </c>
      <c r="B6371" t="s">
        <v>444</v>
      </c>
      <c r="C6371" s="1" t="str">
        <f>HYPERLINK("http://продеталь.рф/search.html?article=TY01108102000","TY01108102000")</f>
        <v>TY01108102000</v>
      </c>
      <c r="D6371" t="s">
        <v>9</v>
      </c>
    </row>
    <row r="6372" spans="1:4" outlineLevel="1" x14ac:dyDescent="0.25">
      <c r="A6372" t="s">
        <v>737</v>
      </c>
      <c r="B6372" t="s">
        <v>35</v>
      </c>
      <c r="C6372" s="1" t="str">
        <f>HYPERLINK("http://продеталь.рф/search.html?article=PTY60026AL","PTY60026AL")</f>
        <v>PTY60026AL</v>
      </c>
      <c r="D6372" t="s">
        <v>6</v>
      </c>
    </row>
    <row r="6373" spans="1:4" outlineLevel="1" x14ac:dyDescent="0.25">
      <c r="A6373" t="s">
        <v>737</v>
      </c>
      <c r="B6373" t="s">
        <v>35</v>
      </c>
      <c r="C6373" s="1" t="str">
        <f>HYPERLINK("http://продеталь.рф/search.html?article=PTY60026AR","PTY60026AR")</f>
        <v>PTY60026AR</v>
      </c>
      <c r="D6373" t="s">
        <v>6</v>
      </c>
    </row>
    <row r="6374" spans="1:4" outlineLevel="1" x14ac:dyDescent="0.25">
      <c r="A6374" t="s">
        <v>737</v>
      </c>
      <c r="B6374" t="s">
        <v>35</v>
      </c>
      <c r="C6374" s="1" t="str">
        <f>HYPERLINK("http://продеталь.рф/search.html?article=TY33026BL","TY33026BL")</f>
        <v>TY33026BL</v>
      </c>
      <c r="D6374" t="s">
        <v>2</v>
      </c>
    </row>
    <row r="6375" spans="1:4" outlineLevel="1" x14ac:dyDescent="0.25">
      <c r="A6375" t="s">
        <v>737</v>
      </c>
      <c r="B6375" t="s">
        <v>103</v>
      </c>
      <c r="C6375" s="1" t="str">
        <f>HYPERLINK("http://продеталь.рф/search.html?article=TYA1219CA2","TYA1219CA2")</f>
        <v>TYA1219CA2</v>
      </c>
      <c r="D6375" t="s">
        <v>9</v>
      </c>
    </row>
    <row r="6376" spans="1:4" outlineLevel="1" x14ac:dyDescent="0.25">
      <c r="A6376" t="s">
        <v>737</v>
      </c>
      <c r="B6376" t="s">
        <v>26</v>
      </c>
      <c r="C6376" s="1" t="str">
        <f>HYPERLINK("http://продеталь.рф/search.html?article=TY04223MAL","TY04223MAL")</f>
        <v>TY04223MAL</v>
      </c>
      <c r="D6376" t="s">
        <v>2</v>
      </c>
    </row>
    <row r="6377" spans="1:4" outlineLevel="1" x14ac:dyDescent="0.25">
      <c r="A6377" t="s">
        <v>737</v>
      </c>
      <c r="B6377" t="s">
        <v>26</v>
      </c>
      <c r="C6377" s="1" t="str">
        <f>HYPERLINK("http://продеталь.рф/search.html?article=TY04223MAR","TY04223MAR")</f>
        <v>TY04223MAR</v>
      </c>
      <c r="D6377" t="s">
        <v>2</v>
      </c>
    </row>
    <row r="6378" spans="1:4" outlineLevel="1" x14ac:dyDescent="0.25">
      <c r="A6378" t="s">
        <v>737</v>
      </c>
      <c r="B6378" t="s">
        <v>3</v>
      </c>
      <c r="C6378" s="1" t="str">
        <f>HYPERLINK("http://продеталь.рф/search.html?article=205730082","205730082")</f>
        <v>205730082</v>
      </c>
      <c r="D6378" t="s">
        <v>4</v>
      </c>
    </row>
    <row r="6379" spans="1:4" outlineLevel="1" x14ac:dyDescent="0.25">
      <c r="A6379" t="s">
        <v>737</v>
      </c>
      <c r="B6379" t="s">
        <v>3</v>
      </c>
      <c r="C6379" s="1" t="str">
        <f>HYPERLINK("http://продеталь.рф/search.html?article=205729082","205729082")</f>
        <v>205729082</v>
      </c>
      <c r="D6379" t="s">
        <v>4</v>
      </c>
    </row>
    <row r="6380" spans="1:4" outlineLevel="1" x14ac:dyDescent="0.25">
      <c r="A6380" t="s">
        <v>737</v>
      </c>
      <c r="B6380" t="s">
        <v>139</v>
      </c>
      <c r="C6380" s="1" t="str">
        <f>HYPERLINK("http://продеталь.рф/search.html?article=ATH0118111","ATH0118111")</f>
        <v>ATH0118111</v>
      </c>
      <c r="D6380" t="s">
        <v>2</v>
      </c>
    </row>
    <row r="6381" spans="1:4" outlineLevel="1" x14ac:dyDescent="0.25">
      <c r="A6381" t="s">
        <v>737</v>
      </c>
      <c r="B6381" t="s">
        <v>139</v>
      </c>
      <c r="C6381" s="1" t="str">
        <f>HYPERLINK("http://продеталь.рф/search.html?article=ATH0118112","ATH0118112")</f>
        <v>ATH0118112</v>
      </c>
      <c r="D6381" t="s">
        <v>2</v>
      </c>
    </row>
    <row r="6382" spans="1:4" outlineLevel="1" x14ac:dyDescent="0.25">
      <c r="A6382" t="s">
        <v>737</v>
      </c>
      <c r="B6382" t="s">
        <v>5</v>
      </c>
      <c r="C6382" s="1" t="str">
        <f>HYPERLINK("http://продеталь.рф/search.html?article=TY11122AR","TY11122AR")</f>
        <v>TY11122AR</v>
      </c>
      <c r="D6382" t="s">
        <v>2</v>
      </c>
    </row>
    <row r="6383" spans="1:4" outlineLevel="1" x14ac:dyDescent="0.25">
      <c r="A6383" t="s">
        <v>737</v>
      </c>
      <c r="B6383" t="s">
        <v>28</v>
      </c>
      <c r="C6383" s="1" t="str">
        <f>HYPERLINK("http://продеталь.рф/search.html?article=RA64798A","RA64798A")</f>
        <v>RA64798A</v>
      </c>
      <c r="D6383" t="s">
        <v>6</v>
      </c>
    </row>
    <row r="6384" spans="1:4" outlineLevel="1" x14ac:dyDescent="0.25">
      <c r="A6384" t="s">
        <v>737</v>
      </c>
      <c r="B6384" t="s">
        <v>40</v>
      </c>
      <c r="C6384" s="1" t="str">
        <f>HYPERLINK("http://продеталь.рф/search.html?article=TYA1000GA0","TYA1000GA0")</f>
        <v>TYA1000GA0</v>
      </c>
      <c r="D6384" t="s">
        <v>9</v>
      </c>
    </row>
    <row r="6385" spans="1:4" outlineLevel="1" x14ac:dyDescent="0.25">
      <c r="A6385" t="s">
        <v>737</v>
      </c>
      <c r="B6385" t="s">
        <v>75</v>
      </c>
      <c r="C6385" s="1" t="str">
        <f>HYPERLINK("http://продеталь.рф/search.html?article=8103196E","8103196E")</f>
        <v>8103196E</v>
      </c>
      <c r="D6385" t="s">
        <v>81</v>
      </c>
    </row>
    <row r="6386" spans="1:4" outlineLevel="1" x14ac:dyDescent="0.25">
      <c r="A6386" t="s">
        <v>737</v>
      </c>
      <c r="B6386" t="s">
        <v>13</v>
      </c>
      <c r="C6386" s="1" t="str">
        <f>HYPERLINK("http://продеталь.рф/search.html?article=TYA1000R0","TYA1000R0")</f>
        <v>TYA1000R0</v>
      </c>
      <c r="D6386" t="s">
        <v>9</v>
      </c>
    </row>
    <row r="6387" spans="1:4" x14ac:dyDescent="0.25">
      <c r="A6387" t="s">
        <v>738</v>
      </c>
      <c r="B6387" s="2" t="s">
        <v>738</v>
      </c>
      <c r="C6387" s="2"/>
      <c r="D6387" s="2"/>
    </row>
    <row r="6388" spans="1:4" outlineLevel="1" x14ac:dyDescent="0.25">
      <c r="A6388" t="s">
        <v>738</v>
      </c>
      <c r="B6388" t="s">
        <v>11</v>
      </c>
      <c r="C6388" s="1" t="str">
        <f>HYPERLINK("http://продеталь.рф/search.html?article=2305110","2305110")</f>
        <v>2305110</v>
      </c>
      <c r="D6388" t="s">
        <v>58</v>
      </c>
    </row>
    <row r="6389" spans="1:4" outlineLevel="1" x14ac:dyDescent="0.25">
      <c r="A6389" t="s">
        <v>738</v>
      </c>
      <c r="B6389" t="s">
        <v>11</v>
      </c>
      <c r="C6389" s="1" t="str">
        <f>HYPERLINK("http://продеталь.рф/search.html?article=TY04274BA","TY04274BA")</f>
        <v>TY04274BA</v>
      </c>
      <c r="D6389" t="s">
        <v>2</v>
      </c>
    </row>
    <row r="6390" spans="1:4" outlineLevel="1" x14ac:dyDescent="0.25">
      <c r="A6390" t="s">
        <v>738</v>
      </c>
      <c r="B6390" t="s">
        <v>11</v>
      </c>
      <c r="C6390" s="1" t="str">
        <f>HYPERLINK("http://продеталь.рф/search.html?article=TY04284BB","TY04284BB")</f>
        <v>TY04284BB</v>
      </c>
      <c r="D6390" t="s">
        <v>2</v>
      </c>
    </row>
    <row r="6391" spans="1:4" outlineLevel="1" x14ac:dyDescent="0.25">
      <c r="A6391" t="s">
        <v>738</v>
      </c>
      <c r="B6391" t="s">
        <v>11</v>
      </c>
      <c r="C6391" s="1" t="str">
        <f>HYPERLINK("http://продеталь.рф/search.html?article=GD6682M","GD6682M")</f>
        <v>GD6682M</v>
      </c>
      <c r="D6391" t="s">
        <v>2</v>
      </c>
    </row>
    <row r="6392" spans="1:4" outlineLevel="1" x14ac:dyDescent="0.25">
      <c r="A6392" t="s">
        <v>738</v>
      </c>
      <c r="B6392" t="s">
        <v>11</v>
      </c>
      <c r="C6392" s="1" t="str">
        <f>HYPERLINK("http://продеталь.рф/search.html?article=TY04283BA","TY04283BA")</f>
        <v>TY04283BA</v>
      </c>
      <c r="D6392" t="s">
        <v>2</v>
      </c>
    </row>
    <row r="6393" spans="1:4" outlineLevel="1" x14ac:dyDescent="0.25">
      <c r="A6393" t="s">
        <v>738</v>
      </c>
      <c r="B6393" t="s">
        <v>15</v>
      </c>
      <c r="C6393" s="1" t="str">
        <f>HYPERLINK("http://продеталь.рф/search.html?article=VTYM1152EL","VTYM1152EL")</f>
        <v>VTYM1152EL</v>
      </c>
      <c r="D6393" t="s">
        <v>6</v>
      </c>
    </row>
    <row r="6394" spans="1:4" outlineLevel="1" x14ac:dyDescent="0.25">
      <c r="A6394" t="s">
        <v>738</v>
      </c>
      <c r="B6394" t="s">
        <v>15</v>
      </c>
      <c r="C6394" s="1" t="str">
        <f>HYPERLINK("http://продеталь.рф/search.html?article=TY01294103R00","TY01294103R00")</f>
        <v>TY01294103R00</v>
      </c>
      <c r="D6394" t="s">
        <v>9</v>
      </c>
    </row>
    <row r="6395" spans="1:4" outlineLevel="1" x14ac:dyDescent="0.25">
      <c r="A6395" t="s">
        <v>738</v>
      </c>
      <c r="B6395" t="s">
        <v>79</v>
      </c>
      <c r="C6395" s="1" t="str">
        <f>HYPERLINK("http://продеталь.рф/search.html?article=GDF0354","GDF0354")</f>
        <v>GDF0354</v>
      </c>
      <c r="D6395" t="s">
        <v>36</v>
      </c>
    </row>
    <row r="6396" spans="1:4" outlineLevel="1" x14ac:dyDescent="0.25">
      <c r="A6396" t="s">
        <v>738</v>
      </c>
      <c r="B6396" t="s">
        <v>101</v>
      </c>
      <c r="C6396" s="1" t="str">
        <f>HYPERLINK("http://продеталь.рф/search.html?article=TY012000C0000","TY012000C0000")</f>
        <v>TY012000C0000</v>
      </c>
      <c r="D6396" t="s">
        <v>9</v>
      </c>
    </row>
    <row r="6397" spans="1:4" outlineLevel="1" x14ac:dyDescent="0.25">
      <c r="A6397" t="s">
        <v>738</v>
      </c>
      <c r="B6397" t="s">
        <v>23</v>
      </c>
      <c r="C6397" s="1" t="str">
        <f>HYPERLINK("http://продеталь.рф/search.html?article=116234011A","116234011A")</f>
        <v>116234011A</v>
      </c>
      <c r="D6397" t="s">
        <v>4</v>
      </c>
    </row>
    <row r="6398" spans="1:4" outlineLevel="1" x14ac:dyDescent="0.25">
      <c r="A6398" t="s">
        <v>738</v>
      </c>
      <c r="B6398" t="s">
        <v>84</v>
      </c>
      <c r="C6398" s="1" t="str">
        <f>HYPERLINK("http://продеталь.рф/search.html?article=TYA2000UA2","TYA2000UA2")</f>
        <v>TYA2000UA2</v>
      </c>
      <c r="D6398" t="s">
        <v>9</v>
      </c>
    </row>
    <row r="6399" spans="1:4" outlineLevel="1" x14ac:dyDescent="0.25">
      <c r="A6399" t="s">
        <v>738</v>
      </c>
      <c r="B6399" t="s">
        <v>84</v>
      </c>
      <c r="C6399" s="1" t="str">
        <f>HYPERLINK("http://продеталь.рф/search.html?article=TYA2000UA1","TYA2000UA1")</f>
        <v>TYA2000UA1</v>
      </c>
      <c r="D6399" t="s">
        <v>9</v>
      </c>
    </row>
    <row r="6400" spans="1:4" outlineLevel="1" x14ac:dyDescent="0.25">
      <c r="A6400" t="s">
        <v>738</v>
      </c>
      <c r="B6400" t="s">
        <v>84</v>
      </c>
      <c r="C6400" s="1" t="str">
        <f>HYPERLINK("http://продеталь.рф/search.html?article=PTY43381AR","PTY43381AR")</f>
        <v>PTY43381AR</v>
      </c>
      <c r="D6400" t="s">
        <v>6</v>
      </c>
    </row>
    <row r="6401" spans="1:4" outlineLevel="1" x14ac:dyDescent="0.25">
      <c r="A6401" t="s">
        <v>738</v>
      </c>
      <c r="B6401" t="s">
        <v>84</v>
      </c>
      <c r="C6401" s="1" t="str">
        <f>HYPERLINK("http://продеталь.рф/search.html?article=PTY43262AL","PTY43262AL")</f>
        <v>PTY43262AL</v>
      </c>
      <c r="D6401" t="s">
        <v>6</v>
      </c>
    </row>
    <row r="6402" spans="1:4" outlineLevel="1" x14ac:dyDescent="0.25">
      <c r="A6402" t="s">
        <v>738</v>
      </c>
      <c r="B6402" t="s">
        <v>84</v>
      </c>
      <c r="C6402" s="1" t="str">
        <f>HYPERLINK("http://продеталь.рф/search.html?article=TY01200200R00","TY01200200R00")</f>
        <v>TY01200200R00</v>
      </c>
      <c r="D6402" t="s">
        <v>9</v>
      </c>
    </row>
    <row r="6403" spans="1:4" outlineLevel="1" x14ac:dyDescent="0.25">
      <c r="A6403" t="s">
        <v>738</v>
      </c>
      <c r="B6403" t="s">
        <v>84</v>
      </c>
      <c r="C6403" s="1" t="str">
        <f>HYPERLINK("http://продеталь.рф/search.html?article=TY012000T0L00","TY012000T0L00")</f>
        <v>TY012000T0L00</v>
      </c>
      <c r="D6403" t="s">
        <v>9</v>
      </c>
    </row>
    <row r="6404" spans="1:4" outlineLevel="1" x14ac:dyDescent="0.25">
      <c r="A6404" t="s">
        <v>738</v>
      </c>
      <c r="B6404" t="s">
        <v>103</v>
      </c>
      <c r="C6404" s="1" t="str">
        <f>HYPERLINK("http://продеталь.рф/search.html?article=PTY99112CBR","PTY99112CBR")</f>
        <v>PTY99112CBR</v>
      </c>
      <c r="D6404" t="s">
        <v>6</v>
      </c>
    </row>
    <row r="6405" spans="1:4" outlineLevel="1" x14ac:dyDescent="0.25">
      <c r="A6405" t="s">
        <v>738</v>
      </c>
      <c r="B6405" t="s">
        <v>103</v>
      </c>
      <c r="C6405" s="1" t="str">
        <f>HYPERLINK("http://продеталь.рф/search.html?article=TY99066CAL","TY99066CAL")</f>
        <v>TY99066CAL</v>
      </c>
      <c r="D6405" t="s">
        <v>2</v>
      </c>
    </row>
    <row r="6406" spans="1:4" outlineLevel="1" x14ac:dyDescent="0.25">
      <c r="A6406" t="s">
        <v>738</v>
      </c>
      <c r="B6406" t="s">
        <v>103</v>
      </c>
      <c r="C6406" s="1" t="str">
        <f>HYPERLINK("http://продеталь.рф/search.html?article=TY99066CAR","TY99066CAR")</f>
        <v>TY99066CAR</v>
      </c>
      <c r="D6406" t="s">
        <v>2</v>
      </c>
    </row>
    <row r="6407" spans="1:4" outlineLevel="1" x14ac:dyDescent="0.25">
      <c r="A6407" t="s">
        <v>738</v>
      </c>
      <c r="B6407" t="s">
        <v>51</v>
      </c>
      <c r="C6407" s="1" t="str">
        <f>HYPERLINK("http://продеталь.рф/search.html?article=TY30105AW","TY30105AW")</f>
        <v>TY30105AW</v>
      </c>
      <c r="D6407" t="s">
        <v>2</v>
      </c>
    </row>
    <row r="6408" spans="1:4" outlineLevel="1" x14ac:dyDescent="0.25">
      <c r="A6408" t="s">
        <v>738</v>
      </c>
      <c r="B6408" t="s">
        <v>27</v>
      </c>
      <c r="C6408" s="1" t="str">
        <f>HYPERLINK("http://продеталь.рф/search.html?article=TY30105AL","TY30105AL")</f>
        <v>TY30105AL</v>
      </c>
      <c r="D6408" t="s">
        <v>2</v>
      </c>
    </row>
    <row r="6409" spans="1:4" outlineLevel="1" x14ac:dyDescent="0.25">
      <c r="A6409" t="s">
        <v>738</v>
      </c>
      <c r="B6409" t="s">
        <v>27</v>
      </c>
      <c r="C6409" s="1" t="str">
        <f>HYPERLINK("http://продеталь.рф/search.html?article=PTY30106A","PTY30106A")</f>
        <v>PTY30106A</v>
      </c>
      <c r="D6409" t="s">
        <v>6</v>
      </c>
    </row>
    <row r="6410" spans="1:4" outlineLevel="1" x14ac:dyDescent="0.25">
      <c r="A6410" t="s">
        <v>738</v>
      </c>
      <c r="B6410" t="s">
        <v>27</v>
      </c>
      <c r="C6410" s="1" t="str">
        <f>HYPERLINK("http://продеталь.рф/search.html?article=PTY30108AU","PTY30108AU")</f>
        <v>PTY30108AU</v>
      </c>
      <c r="D6410" t="s">
        <v>6</v>
      </c>
    </row>
    <row r="6411" spans="1:4" outlineLevel="1" x14ac:dyDescent="0.25">
      <c r="A6411" t="s">
        <v>738</v>
      </c>
      <c r="B6411" t="s">
        <v>3</v>
      </c>
      <c r="C6411" s="1" t="str">
        <f>HYPERLINK("http://продеталь.рф/search.html?article=20679801","20679801")</f>
        <v>20679801</v>
      </c>
      <c r="D6411" t="s">
        <v>4</v>
      </c>
    </row>
    <row r="6412" spans="1:4" outlineLevel="1" x14ac:dyDescent="0.25">
      <c r="A6412" t="s">
        <v>738</v>
      </c>
      <c r="B6412" t="s">
        <v>3</v>
      </c>
      <c r="C6412" s="1" t="str">
        <f>HYPERLINK("http://продеталь.рф/search.html?article=20679701","20679701")</f>
        <v>20679701</v>
      </c>
      <c r="D6412" t="s">
        <v>4</v>
      </c>
    </row>
    <row r="6413" spans="1:4" outlineLevel="1" x14ac:dyDescent="0.25">
      <c r="A6413" t="s">
        <v>738</v>
      </c>
      <c r="B6413" t="s">
        <v>3</v>
      </c>
      <c r="C6413" s="1" t="str">
        <f>HYPERLINK("http://продеталь.рф/search.html?article=201027152","201027152")</f>
        <v>201027152</v>
      </c>
      <c r="D6413" t="s">
        <v>4</v>
      </c>
    </row>
    <row r="6414" spans="1:4" outlineLevel="1" x14ac:dyDescent="0.25">
      <c r="A6414" t="s">
        <v>738</v>
      </c>
      <c r="B6414" t="s">
        <v>3</v>
      </c>
      <c r="C6414" s="1" t="str">
        <f>HYPERLINK("http://продеталь.рф/search.html?article=201028152","201028152")</f>
        <v>201028152</v>
      </c>
      <c r="D6414" t="s">
        <v>4</v>
      </c>
    </row>
    <row r="6415" spans="1:4" outlineLevel="1" x14ac:dyDescent="0.25">
      <c r="A6415" t="s">
        <v>738</v>
      </c>
      <c r="B6415" t="s">
        <v>3</v>
      </c>
      <c r="C6415" s="1" t="str">
        <f>HYPERLINK("http://продеталь.рф/search.html?article=20C011A52B","20C011A52B")</f>
        <v>20C011A52B</v>
      </c>
      <c r="D6415" t="s">
        <v>4</v>
      </c>
    </row>
    <row r="6416" spans="1:4" outlineLevel="1" x14ac:dyDescent="0.25">
      <c r="A6416" t="s">
        <v>738</v>
      </c>
      <c r="B6416" t="s">
        <v>3</v>
      </c>
      <c r="C6416" s="1" t="str">
        <f>HYPERLINK("http://продеталь.рф/search.html?article=20C012A52B","20C012A52B")</f>
        <v>20C012A52B</v>
      </c>
      <c r="D6416" t="s">
        <v>4</v>
      </c>
    </row>
    <row r="6417" spans="1:4" outlineLevel="1" x14ac:dyDescent="0.25">
      <c r="A6417" t="s">
        <v>738</v>
      </c>
      <c r="B6417" t="s">
        <v>139</v>
      </c>
      <c r="C6417" s="1" t="str">
        <f>HYPERLINK("http://продеталь.рф/search.html?article=PTY21147AL","PTY21147AL")</f>
        <v>PTY21147AL</v>
      </c>
      <c r="D6417" t="s">
        <v>6</v>
      </c>
    </row>
    <row r="6418" spans="1:4" outlineLevel="1" x14ac:dyDescent="0.25">
      <c r="A6418" t="s">
        <v>738</v>
      </c>
      <c r="B6418" t="s">
        <v>139</v>
      </c>
      <c r="C6418" s="1" t="str">
        <f>HYPERLINK("http://продеталь.рф/search.html?article=PTY21147AR","PTY21147AR")</f>
        <v>PTY21147AR</v>
      </c>
      <c r="D6418" t="s">
        <v>6</v>
      </c>
    </row>
    <row r="6419" spans="1:4" outlineLevel="1" x14ac:dyDescent="0.25">
      <c r="A6419" t="s">
        <v>738</v>
      </c>
      <c r="B6419" t="s">
        <v>5</v>
      </c>
      <c r="C6419" s="1" t="str">
        <f>HYPERLINK("http://продеталь.рф/search.html?article=TY11225AR","TY11225AR")</f>
        <v>TY11225AR</v>
      </c>
      <c r="D6419" t="s">
        <v>2</v>
      </c>
    </row>
    <row r="6420" spans="1:4" outlineLevel="1" x14ac:dyDescent="0.25">
      <c r="A6420" t="s">
        <v>738</v>
      </c>
      <c r="B6420" t="s">
        <v>28</v>
      </c>
      <c r="C6420" s="1" t="str">
        <f>HYPERLINK("http://продеталь.рф/search.html?article=GD7731","GD7731")</f>
        <v>GD7731</v>
      </c>
      <c r="D6420" t="s">
        <v>2</v>
      </c>
    </row>
    <row r="6421" spans="1:4" outlineLevel="1" x14ac:dyDescent="0.25">
      <c r="A6421" t="s">
        <v>738</v>
      </c>
      <c r="B6421" t="s">
        <v>28</v>
      </c>
      <c r="C6421" s="1" t="str">
        <f>HYPERLINK("http://продеталь.рф/search.html?article=RA64682MT","RA64682MT")</f>
        <v>RA64682MT</v>
      </c>
      <c r="D6421" t="s">
        <v>6</v>
      </c>
    </row>
    <row r="6422" spans="1:4" outlineLevel="1" x14ac:dyDescent="0.25">
      <c r="A6422" t="s">
        <v>738</v>
      </c>
      <c r="B6422" t="s">
        <v>8</v>
      </c>
      <c r="C6422" s="1" t="str">
        <f>HYPERLINK("http://продеталь.рф/search.html?article=RC94991","RC94991")</f>
        <v>RC94991</v>
      </c>
      <c r="D6422" t="s">
        <v>6</v>
      </c>
    </row>
    <row r="6423" spans="1:4" outlineLevel="1" x14ac:dyDescent="0.25">
      <c r="A6423" t="s">
        <v>738</v>
      </c>
      <c r="B6423" t="s">
        <v>263</v>
      </c>
      <c r="C6423" s="1" t="str">
        <f>HYPERLINK("http://продеталь.рф/search.html?article=PTY30104BL","PTY30104BL")</f>
        <v>PTY30104BL</v>
      </c>
      <c r="D6423" t="s">
        <v>6</v>
      </c>
    </row>
    <row r="6424" spans="1:4" outlineLevel="1" x14ac:dyDescent="0.25">
      <c r="A6424" t="s">
        <v>738</v>
      </c>
      <c r="B6424" t="s">
        <v>30</v>
      </c>
      <c r="C6424" s="1" t="str">
        <f>HYPERLINK("http://продеталь.рф/search.html?article=PTY99112CAL","PTY99112CAL")</f>
        <v>PTY99112CAL</v>
      </c>
      <c r="D6424" t="s">
        <v>6</v>
      </c>
    </row>
    <row r="6425" spans="1:4" outlineLevel="1" x14ac:dyDescent="0.25">
      <c r="A6425" t="s">
        <v>738</v>
      </c>
      <c r="B6425" t="s">
        <v>30</v>
      </c>
      <c r="C6425" s="1" t="str">
        <f>HYPERLINK("http://продеталь.рф/search.html?article=PTY99112CAR","PTY99112CAR")</f>
        <v>PTY99112CAR</v>
      </c>
      <c r="D6425" t="s">
        <v>6</v>
      </c>
    </row>
    <row r="6426" spans="1:4" outlineLevel="1" x14ac:dyDescent="0.25">
      <c r="A6426" t="s">
        <v>738</v>
      </c>
      <c r="B6426" t="s">
        <v>30</v>
      </c>
      <c r="C6426" s="1" t="str">
        <f>HYPERLINK("http://продеталь.рф/search.html?article=TY012219C0L00","TY012219C0L00")</f>
        <v>TY012219C0L00</v>
      </c>
      <c r="D6426" t="s">
        <v>9</v>
      </c>
    </row>
    <row r="6427" spans="1:4" outlineLevel="1" x14ac:dyDescent="0.25">
      <c r="A6427" t="s">
        <v>738</v>
      </c>
      <c r="B6427" t="s">
        <v>30</v>
      </c>
      <c r="C6427" s="1" t="str">
        <f>HYPERLINK("http://продеталь.рф/search.html?article=TY012219C0R00","TY012219C0R00")</f>
        <v>TY012219C0R00</v>
      </c>
      <c r="D6427" t="s">
        <v>9</v>
      </c>
    </row>
    <row r="6428" spans="1:4" outlineLevel="1" x14ac:dyDescent="0.25">
      <c r="A6428" t="s">
        <v>738</v>
      </c>
      <c r="B6428" t="s">
        <v>40</v>
      </c>
      <c r="C6428" s="1" t="str">
        <f>HYPERLINK("http://продеталь.рф/search.html?article=TY07387GA","TY07387GA")</f>
        <v>TY07387GA</v>
      </c>
      <c r="D6428" t="s">
        <v>2</v>
      </c>
    </row>
    <row r="6429" spans="1:4" outlineLevel="1" x14ac:dyDescent="0.25">
      <c r="A6429" t="s">
        <v>738</v>
      </c>
      <c r="B6429" t="s">
        <v>40</v>
      </c>
      <c r="C6429" s="1" t="str">
        <f>HYPERLINK("http://продеталь.рф/search.html?article=TY99119CAL","TY99119CAL")</f>
        <v>TY99119CAL</v>
      </c>
      <c r="D6429" t="s">
        <v>2</v>
      </c>
    </row>
    <row r="6430" spans="1:4" outlineLevel="1" x14ac:dyDescent="0.25">
      <c r="A6430" t="s">
        <v>738</v>
      </c>
      <c r="B6430" t="s">
        <v>13</v>
      </c>
      <c r="C6430" s="1" t="str">
        <f>HYPERLINK("http://продеталь.рф/search.html?article=PTY44388A","PTY44388A")</f>
        <v>PTY44388A</v>
      </c>
      <c r="D6430" t="s">
        <v>6</v>
      </c>
    </row>
    <row r="6431" spans="1:4" x14ac:dyDescent="0.25">
      <c r="A6431" t="s">
        <v>739</v>
      </c>
      <c r="B6431" s="2" t="s">
        <v>739</v>
      </c>
      <c r="C6431" s="2"/>
      <c r="D6431" s="2"/>
    </row>
    <row r="6432" spans="1:4" outlineLevel="1" x14ac:dyDescent="0.25">
      <c r="A6432" t="s">
        <v>739</v>
      </c>
      <c r="B6432" t="s">
        <v>11</v>
      </c>
      <c r="C6432" s="1" t="str">
        <f>HYPERLINK("http://продеталь.рф/search.html?article=TY04431BB","TY04431BB")</f>
        <v>TY04431BB</v>
      </c>
      <c r="D6432" t="s">
        <v>2</v>
      </c>
    </row>
    <row r="6433" spans="1:4" outlineLevel="1" x14ac:dyDescent="0.25">
      <c r="A6433" t="s">
        <v>739</v>
      </c>
      <c r="B6433" t="s">
        <v>40</v>
      </c>
      <c r="C6433" s="1" t="str">
        <f>HYPERLINK("http://продеталь.рф/search.html?article=TY07482GA","TY07482GA")</f>
        <v>TY07482GA</v>
      </c>
      <c r="D6433" t="s">
        <v>2</v>
      </c>
    </row>
    <row r="6434" spans="1:4" outlineLevel="1" x14ac:dyDescent="0.25">
      <c r="A6434" t="s">
        <v>739</v>
      </c>
      <c r="B6434" t="s">
        <v>12</v>
      </c>
      <c r="C6434" s="1" t="str">
        <f>HYPERLINK("http://продеталь.рф/search.html?article=TY07478GA","TY07478GA")</f>
        <v>TY07478GA</v>
      </c>
      <c r="D6434" t="s">
        <v>2</v>
      </c>
    </row>
    <row r="6435" spans="1:4" x14ac:dyDescent="0.25">
      <c r="A6435" t="s">
        <v>795</v>
      </c>
      <c r="B6435" s="2" t="s">
        <v>795</v>
      </c>
      <c r="C6435" s="2"/>
      <c r="D6435" s="2"/>
    </row>
    <row r="6436" spans="1:4" outlineLevel="1" x14ac:dyDescent="0.25">
      <c r="A6436" t="s">
        <v>795</v>
      </c>
      <c r="B6436" t="s">
        <v>796</v>
      </c>
      <c r="C6436" s="1" t="str">
        <f>HYPERLINK("http://продеталь.рф/search.html?article=VV44094020R","VV44094020R")</f>
        <v>VV44094020R</v>
      </c>
      <c r="D6436" t="s">
        <v>63</v>
      </c>
    </row>
    <row r="6437" spans="1:4" x14ac:dyDescent="0.25">
      <c r="A6437" t="s">
        <v>797</v>
      </c>
      <c r="B6437" s="2" t="s">
        <v>797</v>
      </c>
      <c r="C6437" s="2"/>
      <c r="D6437" s="2"/>
    </row>
    <row r="6438" spans="1:4" outlineLevel="1" x14ac:dyDescent="0.25">
      <c r="A6438" t="s">
        <v>797</v>
      </c>
      <c r="B6438" t="s">
        <v>1</v>
      </c>
      <c r="C6438" s="1" t="str">
        <f>HYPERLINK("http://продеталь.рф/search.html?article=VV450150","VV450150")</f>
        <v>VV450150</v>
      </c>
      <c r="D6438" t="s">
        <v>9</v>
      </c>
    </row>
    <row r="6439" spans="1:4" outlineLevel="1" x14ac:dyDescent="0.25">
      <c r="A6439" t="s">
        <v>797</v>
      </c>
      <c r="B6439" t="s">
        <v>798</v>
      </c>
      <c r="C6439" s="1" t="str">
        <f>HYPERLINK("http://продеталь.рф/search.html?article=SVV1112R","SVV1112R")</f>
        <v>SVV1112R</v>
      </c>
      <c r="D6439" t="s">
        <v>63</v>
      </c>
    </row>
    <row r="6440" spans="1:4" x14ac:dyDescent="0.25">
      <c r="A6440" t="s">
        <v>799</v>
      </c>
      <c r="B6440" s="2" t="s">
        <v>799</v>
      </c>
      <c r="C6440" s="2"/>
      <c r="D6440" s="2"/>
    </row>
    <row r="6441" spans="1:4" outlineLevel="1" x14ac:dyDescent="0.25">
      <c r="A6441" t="s">
        <v>799</v>
      </c>
      <c r="B6441" t="s">
        <v>3</v>
      </c>
      <c r="C6441" s="1" t="str">
        <f>HYPERLINK("http://продеталь.рф/search.html?article=205403082","205403082")</f>
        <v>205403082</v>
      </c>
      <c r="D6441" t="s">
        <v>4</v>
      </c>
    </row>
    <row r="6442" spans="1:4" outlineLevel="1" x14ac:dyDescent="0.25">
      <c r="A6442" t="s">
        <v>799</v>
      </c>
      <c r="B6442" t="s">
        <v>800</v>
      </c>
      <c r="C6442" s="1" t="str">
        <f>HYPERLINK("http://продеталь.рф/search.html?article=SVV1113L","SVV1113L")</f>
        <v>SVV1113L</v>
      </c>
      <c r="D6442" t="s">
        <v>63</v>
      </c>
    </row>
    <row r="6443" spans="1:4" outlineLevel="1" x14ac:dyDescent="0.25">
      <c r="A6443" t="s">
        <v>799</v>
      </c>
      <c r="B6443" t="s">
        <v>16</v>
      </c>
      <c r="C6443" s="1" t="str">
        <f>HYPERLINK("http://продеталь.рф/search.html?article=185254052","185254052")</f>
        <v>185254052</v>
      </c>
      <c r="D6443" t="s">
        <v>4</v>
      </c>
    </row>
    <row r="6444" spans="1:4" outlineLevel="1" x14ac:dyDescent="0.25">
      <c r="A6444" t="s">
        <v>799</v>
      </c>
      <c r="B6444" t="s">
        <v>16</v>
      </c>
      <c r="C6444" s="1" t="str">
        <f>HYPERLINK("http://продеталь.рф/search.html?article=185253052","185253052")</f>
        <v>185253052</v>
      </c>
      <c r="D6444" t="s">
        <v>4</v>
      </c>
    </row>
    <row r="6445" spans="1:4" x14ac:dyDescent="0.25">
      <c r="A6445" t="s">
        <v>801</v>
      </c>
      <c r="B6445" s="2" t="s">
        <v>801</v>
      </c>
      <c r="C6445" s="2"/>
      <c r="D6445" s="2"/>
    </row>
    <row r="6446" spans="1:4" outlineLevel="1" x14ac:dyDescent="0.25">
      <c r="A6446" t="s">
        <v>801</v>
      </c>
      <c r="B6446" t="s">
        <v>16</v>
      </c>
      <c r="C6446" s="1" t="str">
        <f>HYPERLINK("http://продеталь.рф/search.html?article=7731511LUE","7731511LUE")</f>
        <v>7731511LUE</v>
      </c>
      <c r="D6446" t="s">
        <v>456</v>
      </c>
    </row>
    <row r="6447" spans="1:4" x14ac:dyDescent="0.25">
      <c r="A6447" t="s">
        <v>802</v>
      </c>
      <c r="B6447" s="2" t="s">
        <v>802</v>
      </c>
      <c r="C6447" s="2"/>
      <c r="D6447" s="2"/>
    </row>
    <row r="6448" spans="1:4" outlineLevel="1" x14ac:dyDescent="0.25">
      <c r="A6448" t="s">
        <v>802</v>
      </c>
      <c r="B6448" t="s">
        <v>79</v>
      </c>
      <c r="C6448" s="1" t="str">
        <f>HYPERLINK("http://продеталь.рф/search.html?article=RDVV35004A0","RDVV35004A0")</f>
        <v>RDVV35004A0</v>
      </c>
      <c r="D6448" t="s">
        <v>6</v>
      </c>
    </row>
    <row r="6449" spans="1:4" outlineLevel="1" x14ac:dyDescent="0.25">
      <c r="A6449" t="s">
        <v>802</v>
      </c>
      <c r="B6449" t="s">
        <v>1</v>
      </c>
      <c r="C6449" s="1" t="str">
        <f>HYPERLINK("http://продеталь.рф/search.html?article=VV20008A","VV20008A")</f>
        <v>VV20008A</v>
      </c>
      <c r="D6449" t="s">
        <v>2</v>
      </c>
    </row>
    <row r="6450" spans="1:4" outlineLevel="1" x14ac:dyDescent="0.25">
      <c r="A6450" t="s">
        <v>802</v>
      </c>
      <c r="B6450" t="s">
        <v>3</v>
      </c>
      <c r="C6450" s="1" t="str">
        <f>HYPERLINK("http://продеталь.рф/search.html?article=203729082","203729082")</f>
        <v>203729082</v>
      </c>
      <c r="D6450" t="s">
        <v>4</v>
      </c>
    </row>
    <row r="6451" spans="1:4" outlineLevel="1" x14ac:dyDescent="0.25">
      <c r="A6451" t="s">
        <v>802</v>
      </c>
      <c r="B6451" t="s">
        <v>3</v>
      </c>
      <c r="C6451" s="1" t="str">
        <f>HYPERLINK("http://продеталь.рф/search.html?article=200271252","200271252")</f>
        <v>200271252</v>
      </c>
      <c r="D6451" t="s">
        <v>4</v>
      </c>
    </row>
    <row r="6452" spans="1:4" outlineLevel="1" x14ac:dyDescent="0.25">
      <c r="A6452" t="s">
        <v>802</v>
      </c>
      <c r="B6452" t="s">
        <v>3</v>
      </c>
      <c r="C6452" s="1" t="str">
        <f>HYPERLINK("http://продеталь.рф/search.html?article=ZVV1117L","ZVV1117L")</f>
        <v>ZVV1117L</v>
      </c>
      <c r="D6452" t="s">
        <v>6</v>
      </c>
    </row>
    <row r="6453" spans="1:4" outlineLevel="1" x14ac:dyDescent="0.25">
      <c r="A6453" t="s">
        <v>802</v>
      </c>
      <c r="B6453" t="s">
        <v>3</v>
      </c>
      <c r="C6453" s="1" t="str">
        <f>HYPERLINK("http://продеталь.рф/search.html?article=ZVV1117R","ZVV1117R")</f>
        <v>ZVV1117R</v>
      </c>
      <c r="D6453" t="s">
        <v>6</v>
      </c>
    </row>
    <row r="6454" spans="1:4" outlineLevel="1" x14ac:dyDescent="0.25">
      <c r="A6454" t="s">
        <v>802</v>
      </c>
      <c r="B6454" t="s">
        <v>5</v>
      </c>
      <c r="C6454" s="1" t="str">
        <f>HYPERLINK("http://продеталь.рф/search.html?article=PVV11008AL","PVV11008AL")</f>
        <v>PVV11008AL</v>
      </c>
      <c r="D6454" t="s">
        <v>6</v>
      </c>
    </row>
    <row r="6455" spans="1:4" outlineLevel="1" x14ac:dyDescent="0.25">
      <c r="A6455" t="s">
        <v>802</v>
      </c>
      <c r="B6455" t="s">
        <v>5</v>
      </c>
      <c r="C6455" s="1" t="str">
        <f>HYPERLINK("http://продеталь.рф/search.html?article=PVV11008AR","PVV11008AR")</f>
        <v>PVV11008AR</v>
      </c>
      <c r="D6455" t="s">
        <v>6</v>
      </c>
    </row>
    <row r="6456" spans="1:4" outlineLevel="1" x14ac:dyDescent="0.25">
      <c r="A6456" t="s">
        <v>802</v>
      </c>
      <c r="B6456" t="s">
        <v>54</v>
      </c>
      <c r="C6456" s="1" t="str">
        <f>HYPERLINK("http://продеталь.рф/search.html?article=9008011","9008011")</f>
        <v>9008011</v>
      </c>
      <c r="D6456" t="s">
        <v>46</v>
      </c>
    </row>
    <row r="6457" spans="1:4" outlineLevel="1" x14ac:dyDescent="0.25">
      <c r="A6457" t="s">
        <v>802</v>
      </c>
      <c r="B6457" t="s">
        <v>28</v>
      </c>
      <c r="C6457" s="1" t="str">
        <f>HYPERLINK("http://продеталь.рф/search.html?article=VV35005B0","VV35005B0")</f>
        <v>VV35005B0</v>
      </c>
      <c r="D6457" t="s">
        <v>9</v>
      </c>
    </row>
    <row r="6458" spans="1:4" outlineLevel="1" x14ac:dyDescent="0.25">
      <c r="A6458" t="s">
        <v>802</v>
      </c>
      <c r="B6458" t="s">
        <v>39</v>
      </c>
      <c r="C6458" s="1" t="str">
        <f>HYPERLINK("http://продеталь.рф/search.html?article=AFVO109","AFVO109")</f>
        <v>AFVO109</v>
      </c>
      <c r="D6458" t="s">
        <v>6</v>
      </c>
    </row>
    <row r="6459" spans="1:4" outlineLevel="1" x14ac:dyDescent="0.25">
      <c r="A6459" t="s">
        <v>802</v>
      </c>
      <c r="B6459" t="s">
        <v>16</v>
      </c>
      <c r="C6459" s="1" t="str">
        <f>HYPERLINK("http://продеталь.рф/search.html?article=18A114B12B","18A114B12B")</f>
        <v>18A114B12B</v>
      </c>
      <c r="D6459" t="s">
        <v>4</v>
      </c>
    </row>
    <row r="6460" spans="1:4" outlineLevel="1" x14ac:dyDescent="0.25">
      <c r="A6460" t="s">
        <v>802</v>
      </c>
      <c r="B6460" t="s">
        <v>16</v>
      </c>
      <c r="C6460" s="1" t="str">
        <f>HYPERLINK("http://продеталь.рф/search.html?article=18A113B12B","18A113B12B")</f>
        <v>18A113B12B</v>
      </c>
      <c r="D6460" t="s">
        <v>4</v>
      </c>
    </row>
    <row r="6461" spans="1:4" outlineLevel="1" x14ac:dyDescent="0.25">
      <c r="A6461" t="s">
        <v>802</v>
      </c>
      <c r="B6461" t="s">
        <v>16</v>
      </c>
      <c r="C6461" s="1" t="str">
        <f>HYPERLINK("http://продеталь.рф/search.html?article=18A113001A","18A113001A")</f>
        <v>18A113001A</v>
      </c>
      <c r="D6461" t="s">
        <v>4</v>
      </c>
    </row>
    <row r="6462" spans="1:4" outlineLevel="1" x14ac:dyDescent="0.25">
      <c r="A6462" t="s">
        <v>802</v>
      </c>
      <c r="B6462" t="s">
        <v>13</v>
      </c>
      <c r="C6462" s="1" t="str">
        <f>HYPERLINK("http://продеталь.рф/search.html?article=VV35000R0","VV35000R0")</f>
        <v>VV35000R0</v>
      </c>
      <c r="D6462" t="s">
        <v>9</v>
      </c>
    </row>
    <row r="6463" spans="1:4" outlineLevel="1" x14ac:dyDescent="0.25">
      <c r="A6463" t="s">
        <v>802</v>
      </c>
      <c r="B6463" t="s">
        <v>13</v>
      </c>
      <c r="C6463" s="1" t="str">
        <f>HYPERLINK("http://продеталь.рф/search.html?article=VV44015A","VV44015A")</f>
        <v>VV44015A</v>
      </c>
      <c r="D6463" t="s">
        <v>2</v>
      </c>
    </row>
    <row r="6464" spans="1:4" x14ac:dyDescent="0.25">
      <c r="A6464" t="s">
        <v>803</v>
      </c>
      <c r="B6464" s="2" t="s">
        <v>803</v>
      </c>
      <c r="C6464" s="2"/>
      <c r="D6464" s="2"/>
    </row>
    <row r="6465" spans="1:4" outlineLevel="1" x14ac:dyDescent="0.25">
      <c r="A6465" t="s">
        <v>803</v>
      </c>
      <c r="B6465" t="s">
        <v>3</v>
      </c>
      <c r="C6465" s="1" t="str">
        <f>HYPERLINK("http://продеталь.рф/search.html?article=201032052","201032052")</f>
        <v>201032052</v>
      </c>
      <c r="D6465" t="s">
        <v>4</v>
      </c>
    </row>
    <row r="6466" spans="1:4" outlineLevel="1" x14ac:dyDescent="0.25">
      <c r="A6466" t="s">
        <v>803</v>
      </c>
      <c r="B6466" t="s">
        <v>3</v>
      </c>
      <c r="C6466" s="1" t="str">
        <f>HYPERLINK("http://продеталь.рф/search.html?article=201031052","201031052")</f>
        <v>201031052</v>
      </c>
      <c r="D6466" t="s">
        <v>4</v>
      </c>
    </row>
    <row r="6467" spans="1:4" outlineLevel="1" x14ac:dyDescent="0.25">
      <c r="A6467" t="s">
        <v>803</v>
      </c>
      <c r="B6467" t="s">
        <v>3</v>
      </c>
      <c r="C6467" s="1" t="str">
        <f>HYPERLINK("http://продеталь.рф/search.html?article=20B888052B","20B888052B")</f>
        <v>20B888052B</v>
      </c>
      <c r="D6467" t="s">
        <v>4</v>
      </c>
    </row>
    <row r="6468" spans="1:4" outlineLevel="1" x14ac:dyDescent="0.25">
      <c r="A6468" t="s">
        <v>803</v>
      </c>
      <c r="B6468" t="s">
        <v>3</v>
      </c>
      <c r="C6468" s="1" t="str">
        <f>HYPERLINK("http://продеталь.рф/search.html?article=20B887052B","20B887052B")</f>
        <v>20B887052B</v>
      </c>
      <c r="D6468" t="s">
        <v>4</v>
      </c>
    </row>
    <row r="6469" spans="1:4" outlineLevel="1" x14ac:dyDescent="0.25">
      <c r="A6469" t="s">
        <v>803</v>
      </c>
      <c r="B6469" t="s">
        <v>5</v>
      </c>
      <c r="C6469" s="1" t="str">
        <f>HYPERLINK("http://продеталь.рф/search.html?article=VV36016L2","VV36016L2")</f>
        <v>VV36016L2</v>
      </c>
      <c r="D6469" t="s">
        <v>9</v>
      </c>
    </row>
    <row r="6470" spans="1:4" x14ac:dyDescent="0.25">
      <c r="A6470" t="s">
        <v>804</v>
      </c>
      <c r="B6470" s="2" t="s">
        <v>804</v>
      </c>
      <c r="C6470" s="2"/>
      <c r="D6470" s="2"/>
    </row>
    <row r="6471" spans="1:4" outlineLevel="1" x14ac:dyDescent="0.25">
      <c r="A6471" t="s">
        <v>804</v>
      </c>
      <c r="B6471" t="s">
        <v>24</v>
      </c>
      <c r="C6471" s="1" t="str">
        <f>HYPERLINK("http://продеталь.рф/search.html?article=VV10013AR","VV10013AR")</f>
        <v>VV10013AR</v>
      </c>
      <c r="D6471" t="s">
        <v>2</v>
      </c>
    </row>
    <row r="6472" spans="1:4" outlineLevel="1" x14ac:dyDescent="0.25">
      <c r="A6472" t="s">
        <v>804</v>
      </c>
      <c r="B6472" t="s">
        <v>66</v>
      </c>
      <c r="C6472" s="1" t="str">
        <f>HYPERLINK("http://продеталь.рф/search.html?article=BK021","BK021")</f>
        <v>BK021</v>
      </c>
      <c r="D6472" t="s">
        <v>6</v>
      </c>
    </row>
    <row r="6473" spans="1:4" outlineLevel="1" x14ac:dyDescent="0.25">
      <c r="A6473" t="s">
        <v>804</v>
      </c>
      <c r="B6473" t="s">
        <v>3</v>
      </c>
      <c r="C6473" s="1" t="str">
        <f>HYPERLINK("http://продеталь.рф/search.html?article=20A433052B","20A433052B")</f>
        <v>20A433052B</v>
      </c>
      <c r="D6473" t="s">
        <v>4</v>
      </c>
    </row>
    <row r="6474" spans="1:4" outlineLevel="1" x14ac:dyDescent="0.25">
      <c r="A6474" t="s">
        <v>804</v>
      </c>
      <c r="B6474" t="s">
        <v>5</v>
      </c>
      <c r="C6474" s="1" t="str">
        <f>HYPERLINK("http://продеталь.рф/search.html?article=212410","212410")</f>
        <v>212410</v>
      </c>
      <c r="D6474" t="s">
        <v>21</v>
      </c>
    </row>
    <row r="6475" spans="1:4" outlineLevel="1" x14ac:dyDescent="0.25">
      <c r="A6475" t="s">
        <v>804</v>
      </c>
      <c r="B6475" t="s">
        <v>39</v>
      </c>
      <c r="C6475" s="1" t="str">
        <f>HYPERLINK("http://продеталь.рф/search.html?article=AFVO102","AFVO102")</f>
        <v>AFVO102</v>
      </c>
      <c r="D6475" t="s">
        <v>6</v>
      </c>
    </row>
    <row r="6476" spans="1:4" x14ac:dyDescent="0.25">
      <c r="A6476" t="s">
        <v>805</v>
      </c>
      <c r="B6476" s="2" t="s">
        <v>805</v>
      </c>
      <c r="C6476" s="2"/>
      <c r="D6476" s="2"/>
    </row>
    <row r="6477" spans="1:4" outlineLevel="1" x14ac:dyDescent="0.25">
      <c r="A6477" t="s">
        <v>805</v>
      </c>
      <c r="B6477" t="s">
        <v>3</v>
      </c>
      <c r="C6477" s="1" t="str">
        <f>HYPERLINK("http://продеталь.рф/search.html?article=205484082","205484082")</f>
        <v>205484082</v>
      </c>
      <c r="D6477" t="s">
        <v>4</v>
      </c>
    </row>
    <row r="6478" spans="1:4" outlineLevel="1" x14ac:dyDescent="0.25">
      <c r="A6478" t="s">
        <v>805</v>
      </c>
      <c r="B6478" t="s">
        <v>3</v>
      </c>
      <c r="C6478" s="1" t="str">
        <f>HYPERLINK("http://продеталь.рф/search.html?article=205483082","205483082")</f>
        <v>205483082</v>
      </c>
      <c r="D6478" t="s">
        <v>4</v>
      </c>
    </row>
    <row r="6479" spans="1:4" outlineLevel="1" x14ac:dyDescent="0.25">
      <c r="A6479" t="s">
        <v>805</v>
      </c>
      <c r="B6479" t="s">
        <v>16</v>
      </c>
      <c r="C6479" s="1" t="str">
        <f>HYPERLINK("http://продеталь.рф/search.html?article=185484005","185484005")</f>
        <v>185484005</v>
      </c>
      <c r="D6479" t="s">
        <v>4</v>
      </c>
    </row>
    <row r="6480" spans="1:4" x14ac:dyDescent="0.25">
      <c r="A6480" t="s">
        <v>806</v>
      </c>
      <c r="B6480" s="2" t="s">
        <v>806</v>
      </c>
      <c r="C6480" s="2"/>
      <c r="D6480" s="2"/>
    </row>
    <row r="6481" spans="1:4" outlineLevel="1" x14ac:dyDescent="0.25">
      <c r="A6481" t="s">
        <v>806</v>
      </c>
      <c r="B6481" t="s">
        <v>3</v>
      </c>
      <c r="C6481" s="1" t="str">
        <f>HYPERLINK("http://продеталь.рф/search.html?article=205754182","205754182")</f>
        <v>205754182</v>
      </c>
      <c r="D6481" t="s">
        <v>4</v>
      </c>
    </row>
    <row r="6482" spans="1:4" outlineLevel="1" x14ac:dyDescent="0.25">
      <c r="A6482" t="s">
        <v>806</v>
      </c>
      <c r="B6482" t="s">
        <v>5</v>
      </c>
      <c r="C6482" s="1" t="str">
        <f>HYPERLINK("http://продеталь.рф/search.html?article=212411","212411")</f>
        <v>212411</v>
      </c>
      <c r="D6482" t="s">
        <v>21</v>
      </c>
    </row>
    <row r="6483" spans="1:4" outlineLevel="1" x14ac:dyDescent="0.25">
      <c r="A6483" t="s">
        <v>806</v>
      </c>
      <c r="B6483" t="s">
        <v>5</v>
      </c>
      <c r="C6483" s="1" t="str">
        <f>HYPERLINK("http://продеталь.рф/search.html?article=212412","212412")</f>
        <v>212412</v>
      </c>
      <c r="D6483" t="s">
        <v>21</v>
      </c>
    </row>
    <row r="6484" spans="1:4" outlineLevel="1" x14ac:dyDescent="0.25">
      <c r="A6484" t="s">
        <v>806</v>
      </c>
      <c r="B6484" t="s">
        <v>28</v>
      </c>
      <c r="C6484" s="1" t="str">
        <f>HYPERLINK("http://продеталь.рф/search.html?article=RA65553A","RA65553A")</f>
        <v>RA65553A</v>
      </c>
      <c r="D6484" t="s">
        <v>6</v>
      </c>
    </row>
    <row r="6485" spans="1:4" outlineLevel="1" x14ac:dyDescent="0.25">
      <c r="A6485" t="s">
        <v>806</v>
      </c>
      <c r="B6485" t="s">
        <v>64</v>
      </c>
      <c r="C6485" s="1" t="str">
        <f>HYPERLINK("http://продеталь.рф/search.html?article=125130012","125130012")</f>
        <v>125130012</v>
      </c>
      <c r="D6485" t="s">
        <v>4</v>
      </c>
    </row>
    <row r="6486" spans="1:4" outlineLevel="1" x14ac:dyDescent="0.25">
      <c r="A6486" t="s">
        <v>806</v>
      </c>
      <c r="B6486" t="s">
        <v>64</v>
      </c>
      <c r="C6486" s="1" t="str">
        <f>HYPERLINK("http://продеталь.рф/search.html?article=125129012","125129012")</f>
        <v>125129012</v>
      </c>
      <c r="D6486" t="s">
        <v>4</v>
      </c>
    </row>
    <row r="6487" spans="1:4" x14ac:dyDescent="0.25">
      <c r="A6487" t="s">
        <v>807</v>
      </c>
      <c r="B6487" s="2" t="s">
        <v>807</v>
      </c>
      <c r="C6487" s="2"/>
      <c r="D6487" s="2"/>
    </row>
    <row r="6488" spans="1:4" outlineLevel="1" x14ac:dyDescent="0.25">
      <c r="A6488" t="s">
        <v>807</v>
      </c>
      <c r="B6488" t="s">
        <v>19</v>
      </c>
      <c r="C6488" s="1" t="str">
        <f>HYPERLINK("http://продеталь.рф/search.html?article=195751059","195751059")</f>
        <v>195751059</v>
      </c>
      <c r="D6488" t="s">
        <v>4</v>
      </c>
    </row>
    <row r="6489" spans="1:4" outlineLevel="1" x14ac:dyDescent="0.25">
      <c r="A6489" t="s">
        <v>807</v>
      </c>
      <c r="B6489" t="s">
        <v>19</v>
      </c>
      <c r="C6489" s="1" t="str">
        <f>HYPERLINK("http://продеталь.рф/search.html?article=19A854059B","19A854059B")</f>
        <v>19A854059B</v>
      </c>
      <c r="D6489" t="s">
        <v>4</v>
      </c>
    </row>
    <row r="6490" spans="1:4" outlineLevel="1" x14ac:dyDescent="0.25">
      <c r="A6490" t="s">
        <v>807</v>
      </c>
      <c r="B6490" t="s">
        <v>19</v>
      </c>
      <c r="C6490" s="1" t="str">
        <f>HYPERLINK("http://продеталь.рф/search.html?article=19A853059B","19A853059B")</f>
        <v>19A853059B</v>
      </c>
      <c r="D6490" t="s">
        <v>4</v>
      </c>
    </row>
    <row r="6491" spans="1:4" x14ac:dyDescent="0.25">
      <c r="A6491" t="s">
        <v>808</v>
      </c>
      <c r="B6491" s="2" t="s">
        <v>808</v>
      </c>
      <c r="C6491" s="2"/>
      <c r="D6491" s="2"/>
    </row>
    <row r="6492" spans="1:4" outlineLevel="1" x14ac:dyDescent="0.25">
      <c r="A6492" t="s">
        <v>808</v>
      </c>
      <c r="B6492" t="s">
        <v>184</v>
      </c>
      <c r="C6492" s="1" t="str">
        <f>HYPERLINK("http://продеталь.рф/search.html?article=VV04012PBR","VV04012PBR")</f>
        <v>VV04012PBR</v>
      </c>
      <c r="D6492" t="s">
        <v>2</v>
      </c>
    </row>
    <row r="6493" spans="1:4" outlineLevel="1" x14ac:dyDescent="0.25">
      <c r="A6493" t="s">
        <v>808</v>
      </c>
      <c r="B6493" t="s">
        <v>3</v>
      </c>
      <c r="C6493" s="1" t="str">
        <f>HYPERLINK("http://продеталь.рф/search.html?article=20656300","20656300")</f>
        <v>20656300</v>
      </c>
      <c r="D6493" t="s">
        <v>4</v>
      </c>
    </row>
    <row r="6494" spans="1:4" outlineLevel="1" x14ac:dyDescent="0.25">
      <c r="A6494" t="s">
        <v>808</v>
      </c>
      <c r="B6494" t="s">
        <v>3</v>
      </c>
      <c r="C6494" s="1" t="str">
        <f>HYPERLINK("http://продеталь.рф/search.html?article=200452052","200452052")</f>
        <v>200452052</v>
      </c>
      <c r="D6494" t="s">
        <v>4</v>
      </c>
    </row>
    <row r="6495" spans="1:4" outlineLevel="1" x14ac:dyDescent="0.25">
      <c r="A6495" t="s">
        <v>808</v>
      </c>
      <c r="B6495" t="s">
        <v>3</v>
      </c>
      <c r="C6495" s="1" t="str">
        <f>HYPERLINK("http://продеталь.рф/search.html?article=200451052","200451052")</f>
        <v>200451052</v>
      </c>
      <c r="D6495" t="s">
        <v>4</v>
      </c>
    </row>
    <row r="6496" spans="1:4" outlineLevel="1" x14ac:dyDescent="0.25">
      <c r="A6496" t="s">
        <v>808</v>
      </c>
      <c r="B6496" t="s">
        <v>5</v>
      </c>
      <c r="C6496" s="1" t="str">
        <f>HYPERLINK("http://продеталь.рф/search.html?article=PVV11014AR","PVV11014AR")</f>
        <v>PVV11014AR</v>
      </c>
      <c r="D6496" t="s">
        <v>6</v>
      </c>
    </row>
    <row r="6497" spans="1:4" outlineLevel="1" x14ac:dyDescent="0.25">
      <c r="A6497" t="s">
        <v>808</v>
      </c>
      <c r="B6497" t="s">
        <v>5</v>
      </c>
      <c r="C6497" s="1" t="str">
        <f>HYPERLINK("http://продеталь.рф/search.html?article=PVV11014AL","PVV11014AL")</f>
        <v>PVV11014AL</v>
      </c>
      <c r="D6497" t="s">
        <v>6</v>
      </c>
    </row>
    <row r="6498" spans="1:4" outlineLevel="1" x14ac:dyDescent="0.25">
      <c r="A6498" t="s">
        <v>808</v>
      </c>
      <c r="B6498" t="s">
        <v>8</v>
      </c>
      <c r="C6498" s="1" t="str">
        <f>HYPERLINK("http://продеталь.рф/search.html?article=VV653940","VV653940")</f>
        <v>VV653940</v>
      </c>
      <c r="D6498" t="s">
        <v>9</v>
      </c>
    </row>
    <row r="6499" spans="1:4" outlineLevel="1" x14ac:dyDescent="0.25">
      <c r="A6499" t="s">
        <v>808</v>
      </c>
      <c r="B6499" t="s">
        <v>32</v>
      </c>
      <c r="C6499" s="1" t="str">
        <f>HYPERLINK("http://продеталь.рф/search.html?article=VVM1015AGLE","VVM1015AGLE")</f>
        <v>VVM1015AGLE</v>
      </c>
      <c r="D6499" t="s">
        <v>2</v>
      </c>
    </row>
    <row r="6500" spans="1:4" outlineLevel="1" x14ac:dyDescent="0.25">
      <c r="A6500" t="s">
        <v>808</v>
      </c>
      <c r="B6500" t="s">
        <v>32</v>
      </c>
      <c r="C6500" s="1" t="str">
        <f>HYPERLINK("http://продеталь.рф/search.html?article=VVM1015AGRE","VVM1015AGRE")</f>
        <v>VVM1015AGRE</v>
      </c>
      <c r="D6500" t="s">
        <v>2</v>
      </c>
    </row>
    <row r="6501" spans="1:4" outlineLevel="1" x14ac:dyDescent="0.25">
      <c r="A6501" t="s">
        <v>808</v>
      </c>
      <c r="B6501" t="s">
        <v>32</v>
      </c>
      <c r="C6501" s="1" t="str">
        <f>HYPERLINK("http://продеталь.рф/search.html?article=VVM1016AGRE","VVM1016AGRE")</f>
        <v>VVM1016AGRE</v>
      </c>
      <c r="D6501" t="s">
        <v>2</v>
      </c>
    </row>
    <row r="6502" spans="1:4" outlineLevel="1" x14ac:dyDescent="0.25">
      <c r="A6502" t="s">
        <v>808</v>
      </c>
      <c r="B6502" t="s">
        <v>32</v>
      </c>
      <c r="C6502" s="1" t="str">
        <f>HYPERLINK("http://продеталь.рф/search.html?article=VVM1016AGLE","VVM1016AGLE")</f>
        <v>VVM1016AGLE</v>
      </c>
      <c r="D6502" t="s">
        <v>2</v>
      </c>
    </row>
    <row r="6503" spans="1:4" x14ac:dyDescent="0.25">
      <c r="A6503" t="s">
        <v>742</v>
      </c>
      <c r="B6503" s="2" t="s">
        <v>742</v>
      </c>
      <c r="C6503" s="2"/>
      <c r="D6503" s="2"/>
    </row>
    <row r="6504" spans="1:4" outlineLevel="1" x14ac:dyDescent="0.25">
      <c r="A6504" t="s">
        <v>742</v>
      </c>
      <c r="B6504" t="s">
        <v>11</v>
      </c>
      <c r="C6504" s="1" t="str">
        <f>HYPERLINK("http://продеталь.рф/search.html?article=VW04040BB","VW04040BB")</f>
        <v>VW04040BB</v>
      </c>
      <c r="D6504" t="s">
        <v>2</v>
      </c>
    </row>
    <row r="6505" spans="1:4" outlineLevel="1" x14ac:dyDescent="0.25">
      <c r="A6505" t="s">
        <v>742</v>
      </c>
      <c r="B6505" t="s">
        <v>24</v>
      </c>
      <c r="C6505" s="1" t="str">
        <f>HYPERLINK("http://продеталь.рф/search.html?article=VW410162","VW410162")</f>
        <v>VW410162</v>
      </c>
      <c r="D6505" t="s">
        <v>9</v>
      </c>
    </row>
    <row r="6506" spans="1:4" outlineLevel="1" x14ac:dyDescent="0.25">
      <c r="A6506" t="s">
        <v>742</v>
      </c>
      <c r="B6506" t="s">
        <v>24</v>
      </c>
      <c r="C6506" s="1" t="str">
        <f>HYPERLINK("http://продеталь.рф/search.html?article=VW410161","VW410161")</f>
        <v>VW410161</v>
      </c>
      <c r="D6506" t="s">
        <v>9</v>
      </c>
    </row>
    <row r="6507" spans="1:4" outlineLevel="1" x14ac:dyDescent="0.25">
      <c r="A6507" t="s">
        <v>742</v>
      </c>
      <c r="B6507" t="s">
        <v>66</v>
      </c>
      <c r="C6507" s="1" t="str">
        <f>HYPERLINK("http://продеталь.рф/search.html?article=BK020","BK020")</f>
        <v>BK020</v>
      </c>
      <c r="D6507" t="s">
        <v>6</v>
      </c>
    </row>
    <row r="6508" spans="1:4" outlineLevel="1" x14ac:dyDescent="0.25">
      <c r="A6508" t="s">
        <v>742</v>
      </c>
      <c r="B6508" t="s">
        <v>3</v>
      </c>
      <c r="C6508" s="1" t="str">
        <f>HYPERLINK("http://продеталь.рф/search.html?article=205639082","205639082")</f>
        <v>205639082</v>
      </c>
      <c r="D6508" t="s">
        <v>4</v>
      </c>
    </row>
    <row r="6509" spans="1:4" outlineLevel="1" x14ac:dyDescent="0.25">
      <c r="A6509" t="s">
        <v>742</v>
      </c>
      <c r="B6509" t="s">
        <v>3</v>
      </c>
      <c r="C6509" s="1" t="str">
        <f>HYPERLINK("http://продеталь.рф/search.html?article=205640082","205640082")</f>
        <v>205640082</v>
      </c>
      <c r="D6509" t="s">
        <v>4</v>
      </c>
    </row>
    <row r="6510" spans="1:4" outlineLevel="1" x14ac:dyDescent="0.25">
      <c r="A6510" t="s">
        <v>742</v>
      </c>
      <c r="B6510" t="s">
        <v>5</v>
      </c>
      <c r="C6510" s="1" t="str">
        <f>HYPERLINK("http://продеталь.рф/search.html?article=VW11049AL","VW11049AL")</f>
        <v>VW11049AL</v>
      </c>
      <c r="D6510" t="s">
        <v>2</v>
      </c>
    </row>
    <row r="6511" spans="1:4" outlineLevel="1" x14ac:dyDescent="0.25">
      <c r="A6511" t="s">
        <v>742</v>
      </c>
      <c r="B6511" t="s">
        <v>19</v>
      </c>
      <c r="C6511" s="1" t="str">
        <f>HYPERLINK("http://продеталь.рф/search.html?article=19510000","19510000")</f>
        <v>19510000</v>
      </c>
      <c r="D6511" t="s">
        <v>4</v>
      </c>
    </row>
    <row r="6512" spans="1:4" outlineLevel="1" x14ac:dyDescent="0.25">
      <c r="A6512" t="s">
        <v>742</v>
      </c>
      <c r="B6512" t="s">
        <v>19</v>
      </c>
      <c r="C6512" s="1" t="str">
        <f>HYPERLINK("http://продеталь.рф/search.html?article=19509900","19509900")</f>
        <v>19509900</v>
      </c>
      <c r="D6512" t="s">
        <v>4</v>
      </c>
    </row>
    <row r="6513" spans="1:4" outlineLevel="1" x14ac:dyDescent="0.25">
      <c r="A6513" t="s">
        <v>742</v>
      </c>
      <c r="B6513" t="s">
        <v>40</v>
      </c>
      <c r="C6513" s="1" t="str">
        <f>HYPERLINK("http://продеталь.рф/search.html?article=VW07031GA","VW07031GA")</f>
        <v>VW07031GA</v>
      </c>
      <c r="D6513" t="s">
        <v>99</v>
      </c>
    </row>
    <row r="6514" spans="1:4" outlineLevel="1" x14ac:dyDescent="0.25">
      <c r="A6514" t="s">
        <v>742</v>
      </c>
      <c r="B6514" t="s">
        <v>71</v>
      </c>
      <c r="C6514" s="1" t="str">
        <f>HYPERLINK("http://продеталь.рф/search.html?article=VW02005SB","VW02005SB")</f>
        <v>VW02005SB</v>
      </c>
      <c r="D6514" t="s">
        <v>99</v>
      </c>
    </row>
    <row r="6515" spans="1:4" x14ac:dyDescent="0.25">
      <c r="A6515" t="s">
        <v>743</v>
      </c>
      <c r="B6515" s="2" t="s">
        <v>743</v>
      </c>
      <c r="C6515" s="2"/>
      <c r="D6515" s="2"/>
    </row>
    <row r="6516" spans="1:4" outlineLevel="1" x14ac:dyDescent="0.25">
      <c r="A6516" t="s">
        <v>743</v>
      </c>
      <c r="B6516" t="s">
        <v>11</v>
      </c>
      <c r="C6516" s="1" t="str">
        <f>HYPERLINK("http://продеталь.рф/search.html?article=VW04042BA","VW04042BA")</f>
        <v>VW04042BA</v>
      </c>
      <c r="D6516" t="s">
        <v>2</v>
      </c>
    </row>
    <row r="6517" spans="1:4" outlineLevel="1" x14ac:dyDescent="0.25">
      <c r="A6517" t="s">
        <v>743</v>
      </c>
      <c r="B6517" t="s">
        <v>159</v>
      </c>
      <c r="C6517" s="1" t="str">
        <f>HYPERLINK("http://продеталь.рф/search.html?article=RDVW16008AK","RDVW16008AK")</f>
        <v>RDVW16008AK</v>
      </c>
      <c r="D6517" t="s">
        <v>6</v>
      </c>
    </row>
    <row r="6518" spans="1:4" outlineLevel="1" x14ac:dyDescent="0.25">
      <c r="A6518" t="s">
        <v>743</v>
      </c>
      <c r="B6518" t="s">
        <v>74</v>
      </c>
      <c r="C6518" s="1" t="str">
        <f>HYPERLINK("http://продеталь.рф/search.html?article=VW16004B0","VW16004B0")</f>
        <v>VW16004B0</v>
      </c>
      <c r="D6518" t="s">
        <v>9</v>
      </c>
    </row>
    <row r="6519" spans="1:4" outlineLevel="1" x14ac:dyDescent="0.25">
      <c r="A6519" t="s">
        <v>743</v>
      </c>
      <c r="B6519" t="s">
        <v>23</v>
      </c>
      <c r="C6519" s="1" t="str">
        <f>HYPERLINK("http://продеталь.рф/search.html?article=9EL963670091","9EL963670091")</f>
        <v>9EL963670091</v>
      </c>
      <c r="D6519" t="s">
        <v>43</v>
      </c>
    </row>
    <row r="6520" spans="1:4" outlineLevel="1" x14ac:dyDescent="0.25">
      <c r="A6520" t="s">
        <v>743</v>
      </c>
      <c r="B6520" t="s">
        <v>1</v>
      </c>
      <c r="C6520" s="1" t="str">
        <f>HYPERLINK("http://продеталь.рф/search.html?article=PVW20023A","PVW20023A")</f>
        <v>PVW20023A</v>
      </c>
      <c r="D6520" t="s">
        <v>6</v>
      </c>
    </row>
    <row r="6521" spans="1:4" outlineLevel="1" x14ac:dyDescent="0.25">
      <c r="A6521" t="s">
        <v>743</v>
      </c>
      <c r="B6521" t="s">
        <v>744</v>
      </c>
      <c r="C6521" s="1" t="str">
        <f>HYPERLINK("http://продеталь.рф/search.html?article=VW16004U1","VW16004U1")</f>
        <v>VW16004U1</v>
      </c>
      <c r="D6521" t="s">
        <v>9</v>
      </c>
    </row>
    <row r="6522" spans="1:4" outlineLevel="1" x14ac:dyDescent="0.25">
      <c r="A6522" t="s">
        <v>743</v>
      </c>
      <c r="B6522" t="s">
        <v>24</v>
      </c>
      <c r="C6522" s="1" t="str">
        <f>HYPERLINK("http://продеталь.рф/search.html?article=VW160162","VW160162")</f>
        <v>VW160162</v>
      </c>
      <c r="D6522" t="s">
        <v>9</v>
      </c>
    </row>
    <row r="6523" spans="1:4" outlineLevel="1" x14ac:dyDescent="0.25">
      <c r="A6523" t="s">
        <v>743</v>
      </c>
      <c r="B6523" t="s">
        <v>24</v>
      </c>
      <c r="C6523" s="1" t="str">
        <f>HYPERLINK("http://продеталь.рф/search.html?article=VW160161","VW160161")</f>
        <v>VW160161</v>
      </c>
      <c r="D6523" t="s">
        <v>9</v>
      </c>
    </row>
    <row r="6524" spans="1:4" outlineLevel="1" x14ac:dyDescent="0.25">
      <c r="A6524" t="s">
        <v>743</v>
      </c>
      <c r="B6524" t="s">
        <v>26</v>
      </c>
      <c r="C6524" s="1" t="str">
        <f>HYPERLINK("http://продеталь.рф/search.html?article=VW04042PA","VW04042PA")</f>
        <v>VW04042PA</v>
      </c>
      <c r="D6524" t="s">
        <v>2</v>
      </c>
    </row>
    <row r="6525" spans="1:4" outlineLevel="1" x14ac:dyDescent="0.25">
      <c r="A6525" t="s">
        <v>743</v>
      </c>
      <c r="B6525" t="s">
        <v>3</v>
      </c>
      <c r="C6525" s="1" t="str">
        <f>HYPERLINK("http://продеталь.рф/search.html?article=205678182","205678182")</f>
        <v>205678182</v>
      </c>
      <c r="D6525" t="s">
        <v>4</v>
      </c>
    </row>
    <row r="6526" spans="1:4" outlineLevel="1" x14ac:dyDescent="0.25">
      <c r="A6526" t="s">
        <v>743</v>
      </c>
      <c r="B6526" t="s">
        <v>3</v>
      </c>
      <c r="C6526" s="1" t="str">
        <f>HYPERLINK("http://продеталь.рф/search.html?article=205677182","205677182")</f>
        <v>205677182</v>
      </c>
      <c r="D6526" t="s">
        <v>4</v>
      </c>
    </row>
    <row r="6527" spans="1:4" outlineLevel="1" x14ac:dyDescent="0.25">
      <c r="A6527" t="s">
        <v>743</v>
      </c>
      <c r="B6527" t="s">
        <v>3</v>
      </c>
      <c r="C6527" s="1" t="str">
        <f>HYPERLINK("http://продеталь.рф/search.html?article=205678082","205678082")</f>
        <v>205678082</v>
      </c>
      <c r="D6527" t="s">
        <v>4</v>
      </c>
    </row>
    <row r="6528" spans="1:4" outlineLevel="1" x14ac:dyDescent="0.25">
      <c r="A6528" t="s">
        <v>743</v>
      </c>
      <c r="B6528" t="s">
        <v>40</v>
      </c>
      <c r="C6528" s="1" t="str">
        <f>HYPERLINK("http://продеталь.рф/search.html?article=PVW99005GAK","PVW99005GAK")</f>
        <v>PVW99005GAK</v>
      </c>
      <c r="D6528" t="s">
        <v>6</v>
      </c>
    </row>
    <row r="6529" spans="1:4" outlineLevel="1" x14ac:dyDescent="0.25">
      <c r="A6529" t="s">
        <v>743</v>
      </c>
      <c r="B6529" t="s">
        <v>251</v>
      </c>
      <c r="C6529" s="1" t="str">
        <f>HYPERLINK("http://продеталь.рф/search.html?article=R90001A","R90001A")</f>
        <v>R90001A</v>
      </c>
      <c r="D6529" t="s">
        <v>6</v>
      </c>
    </row>
    <row r="6530" spans="1:4" outlineLevel="1" x14ac:dyDescent="0.25">
      <c r="A6530" t="s">
        <v>743</v>
      </c>
      <c r="B6530" t="s">
        <v>71</v>
      </c>
      <c r="C6530" s="1" t="str">
        <f>HYPERLINK("http://продеталь.рф/search.html?article=VW02006SA","VW02006SA")</f>
        <v>VW02006SA</v>
      </c>
      <c r="D6530" t="s">
        <v>2</v>
      </c>
    </row>
    <row r="6531" spans="1:4" x14ac:dyDescent="0.25">
      <c r="A6531" t="s">
        <v>745</v>
      </c>
      <c r="B6531" s="2" t="s">
        <v>745</v>
      </c>
      <c r="C6531" s="2"/>
      <c r="D6531" s="2"/>
    </row>
    <row r="6532" spans="1:4" outlineLevel="1" x14ac:dyDescent="0.25">
      <c r="A6532" t="s">
        <v>745</v>
      </c>
      <c r="B6532" t="s">
        <v>11</v>
      </c>
      <c r="C6532" s="1" t="str">
        <f>HYPERLINK("http://продеталь.рф/search.html?article=WOS07CD002","WOS07CD002")</f>
        <v>WOS07CD002</v>
      </c>
      <c r="D6532" t="s">
        <v>182</v>
      </c>
    </row>
    <row r="6533" spans="1:4" outlineLevel="1" x14ac:dyDescent="0.25">
      <c r="A6533" t="s">
        <v>745</v>
      </c>
      <c r="B6533" t="s">
        <v>15</v>
      </c>
      <c r="C6533" s="1" t="str">
        <f>HYPERLINK("http://продеталь.рф/search.html?article=VVWM1029MR","VVWM1029MR")</f>
        <v>VVWM1029MR</v>
      </c>
      <c r="D6533" t="s">
        <v>6</v>
      </c>
    </row>
    <row r="6534" spans="1:4" outlineLevel="1" x14ac:dyDescent="0.25">
      <c r="A6534" t="s">
        <v>745</v>
      </c>
      <c r="B6534" t="s">
        <v>15</v>
      </c>
      <c r="C6534" s="1" t="str">
        <f>HYPERLINK("http://продеталь.рф/search.html?article=VVWM1029EL","VVWM1029EL")</f>
        <v>VVWM1029EL</v>
      </c>
      <c r="D6534" t="s">
        <v>6</v>
      </c>
    </row>
    <row r="6535" spans="1:4" outlineLevel="1" x14ac:dyDescent="0.25">
      <c r="A6535" t="s">
        <v>745</v>
      </c>
      <c r="B6535" t="s">
        <v>23</v>
      </c>
      <c r="C6535" s="1" t="str">
        <f>HYPERLINK("http://продеталь.рф/search.html?article=110453012","110453012")</f>
        <v>110453012</v>
      </c>
      <c r="D6535" t="s">
        <v>4</v>
      </c>
    </row>
    <row r="6536" spans="1:4" outlineLevel="1" x14ac:dyDescent="0.25">
      <c r="A6536" t="s">
        <v>745</v>
      </c>
      <c r="B6536" t="s">
        <v>1</v>
      </c>
      <c r="C6536" s="1" t="str">
        <f>HYPERLINK("http://продеталь.рф/search.html?article=VW20030A","VW20030A")</f>
        <v>VW20030A</v>
      </c>
      <c r="D6536" t="s">
        <v>2</v>
      </c>
    </row>
    <row r="6537" spans="1:4" outlineLevel="1" x14ac:dyDescent="0.25">
      <c r="A6537" t="s">
        <v>745</v>
      </c>
      <c r="B6537" t="s">
        <v>24</v>
      </c>
      <c r="C6537" s="1" t="str">
        <f>HYPERLINK("http://продеталь.рф/search.html?article=VW10040BL","VW10040BL")</f>
        <v>VW10040BL</v>
      </c>
      <c r="D6537" t="s">
        <v>2</v>
      </c>
    </row>
    <row r="6538" spans="1:4" outlineLevel="1" x14ac:dyDescent="0.25">
      <c r="A6538" t="s">
        <v>745</v>
      </c>
      <c r="B6538" t="s">
        <v>24</v>
      </c>
      <c r="C6538" s="1" t="str">
        <f>HYPERLINK("http://продеталь.рф/search.html?article=VW10040BR","VW10040BR")</f>
        <v>VW10040BR</v>
      </c>
      <c r="D6538" t="s">
        <v>2</v>
      </c>
    </row>
    <row r="6539" spans="1:4" outlineLevel="1" x14ac:dyDescent="0.25">
      <c r="A6539" t="s">
        <v>745</v>
      </c>
      <c r="B6539" t="s">
        <v>3</v>
      </c>
      <c r="C6539" s="1" t="str">
        <f>HYPERLINK("http://продеталь.рф/search.html?article=200760052","200760052")</f>
        <v>200760052</v>
      </c>
      <c r="D6539" t="s">
        <v>4</v>
      </c>
    </row>
    <row r="6540" spans="1:4" outlineLevel="1" x14ac:dyDescent="0.25">
      <c r="A6540" t="s">
        <v>745</v>
      </c>
      <c r="B6540" t="s">
        <v>3</v>
      </c>
      <c r="C6540" s="1" t="str">
        <f>HYPERLINK("http://продеталь.рф/search.html?article=200759052","200759052")</f>
        <v>200759052</v>
      </c>
      <c r="D6540" t="s">
        <v>4</v>
      </c>
    </row>
    <row r="6541" spans="1:4" outlineLevel="1" x14ac:dyDescent="0.25">
      <c r="A6541" t="s">
        <v>745</v>
      </c>
      <c r="B6541" t="s">
        <v>457</v>
      </c>
      <c r="C6541" s="1" t="str">
        <f>HYPERLINK("http://продеталь.рф/search.html?article=ZVW3402LR","ZVW3402LR")</f>
        <v>ZVW3402LR</v>
      </c>
      <c r="D6541" t="s">
        <v>6</v>
      </c>
    </row>
    <row r="6542" spans="1:4" x14ac:dyDescent="0.25">
      <c r="A6542" t="s">
        <v>746</v>
      </c>
      <c r="B6542" s="2" t="s">
        <v>746</v>
      </c>
      <c r="C6542" s="2"/>
      <c r="D6542" s="2"/>
    </row>
    <row r="6543" spans="1:4" outlineLevel="1" x14ac:dyDescent="0.25">
      <c r="A6543" t="s">
        <v>746</v>
      </c>
      <c r="B6543" t="s">
        <v>11</v>
      </c>
      <c r="C6543" s="1" t="str">
        <f>HYPERLINK("http://продеталь.рф/search.html?article=PVW04153BAI","PVW04153BAI")</f>
        <v>PVW04153BAI</v>
      </c>
      <c r="D6543" t="s">
        <v>6</v>
      </c>
    </row>
    <row r="6544" spans="1:4" outlineLevel="1" x14ac:dyDescent="0.25">
      <c r="A6544" t="s">
        <v>746</v>
      </c>
      <c r="B6544" t="s">
        <v>12</v>
      </c>
      <c r="C6544" s="1" t="str">
        <f>HYPERLINK("http://продеталь.рф/search.html?article=PVW07102GALR","PVW07102GALR")</f>
        <v>PVW07102GALR</v>
      </c>
      <c r="D6544" t="s">
        <v>6</v>
      </c>
    </row>
    <row r="6545" spans="1:4" x14ac:dyDescent="0.25">
      <c r="A6545" t="s">
        <v>747</v>
      </c>
      <c r="B6545" s="2" t="s">
        <v>747</v>
      </c>
      <c r="C6545" s="2"/>
      <c r="D6545" s="2"/>
    </row>
    <row r="6546" spans="1:4" outlineLevel="1" x14ac:dyDescent="0.25">
      <c r="A6546" t="s">
        <v>747</v>
      </c>
      <c r="B6546" t="s">
        <v>11</v>
      </c>
      <c r="C6546" s="1" t="str">
        <f>HYPERLINK("http://продеталь.рф/search.html?article=25005","25005")</f>
        <v>25005</v>
      </c>
      <c r="D6546" t="s">
        <v>163</v>
      </c>
    </row>
    <row r="6547" spans="1:4" outlineLevel="1" x14ac:dyDescent="0.25">
      <c r="A6547" t="s">
        <v>747</v>
      </c>
      <c r="B6547" t="s">
        <v>11</v>
      </c>
      <c r="C6547" s="1" t="str">
        <f>HYPERLINK("http://продеталь.рф/search.html?article=0918120","0918120")</f>
        <v>0918120</v>
      </c>
      <c r="D6547" t="s">
        <v>58</v>
      </c>
    </row>
    <row r="6548" spans="1:4" outlineLevel="1" x14ac:dyDescent="0.25">
      <c r="A6548" t="s">
        <v>747</v>
      </c>
      <c r="B6548" t="s">
        <v>11</v>
      </c>
      <c r="C6548" s="1" t="str">
        <f>HYPERLINK("http://продеталь.рф/search.html?article=25025","25025")</f>
        <v>25025</v>
      </c>
      <c r="D6548" t="s">
        <v>163</v>
      </c>
    </row>
    <row r="6549" spans="1:4" outlineLevel="1" x14ac:dyDescent="0.25">
      <c r="A6549" t="s">
        <v>747</v>
      </c>
      <c r="B6549" t="s">
        <v>15</v>
      </c>
      <c r="C6549" s="1" t="str">
        <f>HYPERLINK("http://продеталь.рф/search.html?article=388VWD014","388VWD014")</f>
        <v>388VWD014</v>
      </c>
      <c r="D6549" t="s">
        <v>4</v>
      </c>
    </row>
    <row r="6550" spans="1:4" outlineLevel="1" x14ac:dyDescent="0.25">
      <c r="A6550" t="s">
        <v>747</v>
      </c>
      <c r="B6550" t="s">
        <v>748</v>
      </c>
      <c r="C6550" s="1" t="str">
        <f>HYPERLINK("http://продеталь.рф/search.html?article=02140102","02140102")</f>
        <v>02140102</v>
      </c>
      <c r="D6550" t="s">
        <v>47</v>
      </c>
    </row>
    <row r="6551" spans="1:4" outlineLevel="1" x14ac:dyDescent="0.25">
      <c r="A6551" t="s">
        <v>747</v>
      </c>
      <c r="B6551" t="s">
        <v>749</v>
      </c>
      <c r="C6551" s="1" t="str">
        <f>HYPERLINK("http://продеталь.рф/search.html?article=AK191253609Q","AK191253609Q")</f>
        <v>AK191253609Q</v>
      </c>
      <c r="D6551" t="s">
        <v>244</v>
      </c>
    </row>
    <row r="6552" spans="1:4" outlineLevel="1" x14ac:dyDescent="0.25">
      <c r="A6552" t="s">
        <v>747</v>
      </c>
      <c r="B6552" t="s">
        <v>551</v>
      </c>
      <c r="C6552" s="1" t="str">
        <f>HYPERLINK("http://продеталь.рф/search.html?article=9521522","9521522")</f>
        <v>9521522</v>
      </c>
      <c r="D6552" t="s">
        <v>46</v>
      </c>
    </row>
    <row r="6553" spans="1:4" outlineLevel="1" x14ac:dyDescent="0.25">
      <c r="A6553" t="s">
        <v>747</v>
      </c>
      <c r="B6553" t="s">
        <v>23</v>
      </c>
      <c r="C6553" s="1" t="str">
        <f>HYPERLINK("http://продеталь.рф/search.html?article=ZVW1909L","ZVW1909L")</f>
        <v>ZVW1909L</v>
      </c>
      <c r="D6553" t="s">
        <v>6</v>
      </c>
    </row>
    <row r="6554" spans="1:4" outlineLevel="1" x14ac:dyDescent="0.25">
      <c r="A6554" t="s">
        <v>747</v>
      </c>
      <c r="B6554" t="s">
        <v>23</v>
      </c>
      <c r="C6554" s="1" t="str">
        <f>HYPERLINK("http://продеталь.рф/search.html?article=ZVW1909R","ZVW1909R")</f>
        <v>ZVW1909R</v>
      </c>
      <c r="D6554" t="s">
        <v>6</v>
      </c>
    </row>
    <row r="6555" spans="1:4" outlineLevel="1" x14ac:dyDescent="0.25">
      <c r="A6555" t="s">
        <v>747</v>
      </c>
      <c r="B6555" t="s">
        <v>23</v>
      </c>
      <c r="C6555" s="1" t="str">
        <f>HYPERLINK("http://продеталь.рф/search.html?article=ZVW1910L","ZVW1910L")</f>
        <v>ZVW1910L</v>
      </c>
      <c r="D6555" t="s">
        <v>6</v>
      </c>
    </row>
    <row r="6556" spans="1:4" outlineLevel="1" x14ac:dyDescent="0.25">
      <c r="A6556" t="s">
        <v>747</v>
      </c>
      <c r="B6556" t="s">
        <v>23</v>
      </c>
      <c r="C6556" s="1" t="str">
        <f>HYPERLINK("http://продеталь.рф/search.html?article=ZVW1910R","ZVW1910R")</f>
        <v>ZVW1910R</v>
      </c>
      <c r="D6556" t="s">
        <v>6</v>
      </c>
    </row>
    <row r="6557" spans="1:4" outlineLevel="1" x14ac:dyDescent="0.25">
      <c r="A6557" t="s">
        <v>747</v>
      </c>
      <c r="B6557" t="s">
        <v>45</v>
      </c>
      <c r="C6557" s="1" t="str">
        <f>HYPERLINK("http://продеталь.рф/search.html?article=9521581","9521581")</f>
        <v>9521581</v>
      </c>
      <c r="D6557" t="s">
        <v>46</v>
      </c>
    </row>
    <row r="6558" spans="1:4" outlineLevel="1" x14ac:dyDescent="0.25">
      <c r="A6558" t="s">
        <v>747</v>
      </c>
      <c r="B6558" t="s">
        <v>444</v>
      </c>
      <c r="C6558" s="1" t="str">
        <f>HYPERLINK("http://продеталь.рф/search.html?article=VW23079A0","VW23079A0")</f>
        <v>VW23079A0</v>
      </c>
      <c r="D6558" t="s">
        <v>9</v>
      </c>
    </row>
    <row r="6559" spans="1:4" outlineLevel="1" x14ac:dyDescent="0.25">
      <c r="A6559" t="s">
        <v>747</v>
      </c>
      <c r="B6559" t="s">
        <v>444</v>
      </c>
      <c r="C6559" s="1" t="str">
        <f>HYPERLINK("http://продеталь.рф/search.html?article=9521680","9521680")</f>
        <v>9521680</v>
      </c>
      <c r="D6559" t="s">
        <v>46</v>
      </c>
    </row>
    <row r="6560" spans="1:4" outlineLevel="1" x14ac:dyDescent="0.25">
      <c r="A6560" t="s">
        <v>747</v>
      </c>
      <c r="B6560" t="s">
        <v>24</v>
      </c>
      <c r="C6560" s="1" t="str">
        <f>HYPERLINK("http://продеталь.рф/search.html?article=PVW10003AL","PVW10003AL")</f>
        <v>PVW10003AL</v>
      </c>
      <c r="D6560" t="s">
        <v>6</v>
      </c>
    </row>
    <row r="6561" spans="1:4" outlineLevel="1" x14ac:dyDescent="0.25">
      <c r="A6561" t="s">
        <v>747</v>
      </c>
      <c r="B6561" t="s">
        <v>50</v>
      </c>
      <c r="C6561" s="1" t="str">
        <f>HYPERLINK("http://продеталь.рф/search.html?article=VW46054A","VW46054A")</f>
        <v>VW46054A</v>
      </c>
      <c r="D6561" t="s">
        <v>2</v>
      </c>
    </row>
    <row r="6562" spans="1:4" outlineLevel="1" x14ac:dyDescent="0.25">
      <c r="A6562" t="s">
        <v>747</v>
      </c>
      <c r="B6562" t="s">
        <v>50</v>
      </c>
      <c r="C6562" s="1" t="str">
        <f>HYPERLINK("http://продеталь.рф/search.html?article=9541210A1","9541210A1")</f>
        <v>9541210A1</v>
      </c>
      <c r="D6562" t="s">
        <v>46</v>
      </c>
    </row>
    <row r="6563" spans="1:4" outlineLevel="1" x14ac:dyDescent="0.25">
      <c r="A6563" t="s">
        <v>747</v>
      </c>
      <c r="B6563" t="s">
        <v>339</v>
      </c>
      <c r="C6563" s="1" t="str">
        <f>HYPERLINK("http://продеталь.рф/search.html?article=35034","35034")</f>
        <v>35034</v>
      </c>
      <c r="D6563" t="s">
        <v>163</v>
      </c>
    </row>
    <row r="6564" spans="1:4" outlineLevel="1" x14ac:dyDescent="0.25">
      <c r="A6564" t="s">
        <v>747</v>
      </c>
      <c r="B6564" t="s">
        <v>339</v>
      </c>
      <c r="C6564" s="1" t="str">
        <f>HYPERLINK("http://продеталь.рф/search.html?article=35024","35024")</f>
        <v>35024</v>
      </c>
      <c r="D6564" t="s">
        <v>163</v>
      </c>
    </row>
    <row r="6565" spans="1:4" outlineLevel="1" x14ac:dyDescent="0.25">
      <c r="A6565" t="s">
        <v>747</v>
      </c>
      <c r="B6565" t="s">
        <v>51</v>
      </c>
      <c r="C6565" s="1" t="str">
        <f>HYPERLINK("http://продеталь.рф/search.html?article=9521230","9521230")</f>
        <v>9521230</v>
      </c>
      <c r="D6565" t="s">
        <v>46</v>
      </c>
    </row>
    <row r="6566" spans="1:4" outlineLevel="1" x14ac:dyDescent="0.25">
      <c r="A6566" t="s">
        <v>747</v>
      </c>
      <c r="B6566" t="s">
        <v>27</v>
      </c>
      <c r="C6566" s="1" t="str">
        <f>HYPERLINK("http://продеталь.рф/search.html?article=PVW30003A","PVW30003A")</f>
        <v>PVW30003A</v>
      </c>
      <c r="D6566" t="s">
        <v>6</v>
      </c>
    </row>
    <row r="6567" spans="1:4" outlineLevel="1" x14ac:dyDescent="0.25">
      <c r="A6567" t="s">
        <v>747</v>
      </c>
      <c r="B6567" t="s">
        <v>27</v>
      </c>
      <c r="C6567" s="1" t="str">
        <f>HYPERLINK("http://продеталь.рф/search.html?article=PVW30002A","PVW30002A")</f>
        <v>PVW30002A</v>
      </c>
      <c r="D6567" t="s">
        <v>6</v>
      </c>
    </row>
    <row r="6568" spans="1:4" outlineLevel="1" x14ac:dyDescent="0.25">
      <c r="A6568" t="s">
        <v>747</v>
      </c>
      <c r="B6568" t="s">
        <v>3</v>
      </c>
      <c r="C6568" s="1" t="str">
        <f>HYPERLINK("http://продеталь.рф/search.html?article=VWGLF83000Z","VWGLF83000Z")</f>
        <v>VWGLF83000Z</v>
      </c>
      <c r="D6568" t="s">
        <v>34</v>
      </c>
    </row>
    <row r="6569" spans="1:4" outlineLevel="1" x14ac:dyDescent="0.25">
      <c r="A6569" t="s">
        <v>747</v>
      </c>
      <c r="B6569" t="s">
        <v>3</v>
      </c>
      <c r="C6569" s="1" t="str">
        <f>HYPERLINK("http://продеталь.рф/search.html?article=ZVW1104HL","ZVW1104HL")</f>
        <v>ZVW1104HL</v>
      </c>
      <c r="D6569" t="s">
        <v>6</v>
      </c>
    </row>
    <row r="6570" spans="1:4" outlineLevel="1" x14ac:dyDescent="0.25">
      <c r="A6570" t="s">
        <v>747</v>
      </c>
      <c r="B6570" t="s">
        <v>3</v>
      </c>
      <c r="C6570" s="1" t="str">
        <f>HYPERLINK("http://продеталь.рф/search.html?article=ZVW1104HR","ZVW1104HR")</f>
        <v>ZVW1104HR</v>
      </c>
      <c r="D6570" t="s">
        <v>6</v>
      </c>
    </row>
    <row r="6571" spans="1:4" outlineLevel="1" x14ac:dyDescent="0.25">
      <c r="A6571" t="s">
        <v>747</v>
      </c>
      <c r="B6571" t="s">
        <v>3</v>
      </c>
      <c r="C6571" s="1" t="str">
        <f>HYPERLINK("http://продеталь.рф/search.html?article=HL133H3GIR","HL133H3GIR")</f>
        <v>HL133H3GIR</v>
      </c>
      <c r="D6571" t="s">
        <v>750</v>
      </c>
    </row>
    <row r="6572" spans="1:4" outlineLevel="1" x14ac:dyDescent="0.25">
      <c r="A6572" t="s">
        <v>747</v>
      </c>
      <c r="B6572" t="s">
        <v>5</v>
      </c>
      <c r="C6572" s="1" t="str">
        <f>HYPERLINK("http://продеталь.рф/search.html?article=211909","211909")</f>
        <v>211909</v>
      </c>
      <c r="D6572" t="s">
        <v>21</v>
      </c>
    </row>
    <row r="6573" spans="1:4" outlineLevel="1" x14ac:dyDescent="0.25">
      <c r="A6573" t="s">
        <v>747</v>
      </c>
      <c r="B6573" t="s">
        <v>5</v>
      </c>
      <c r="C6573" s="1" t="str">
        <f>HYPERLINK("http://продеталь.рф/search.html?article=211910","211910")</f>
        <v>211910</v>
      </c>
      <c r="D6573" t="s">
        <v>21</v>
      </c>
    </row>
    <row r="6574" spans="1:4" outlineLevel="1" x14ac:dyDescent="0.25">
      <c r="A6574" t="s">
        <v>747</v>
      </c>
      <c r="B6574" t="s">
        <v>54</v>
      </c>
      <c r="C6574" s="1" t="str">
        <f>HYPERLINK("http://продеталь.рф/search.html?article=9521001","9521001")</f>
        <v>9521001</v>
      </c>
      <c r="D6574" t="s">
        <v>46</v>
      </c>
    </row>
    <row r="6575" spans="1:4" outlineLevel="1" x14ac:dyDescent="0.25">
      <c r="A6575" t="s">
        <v>747</v>
      </c>
      <c r="B6575" t="s">
        <v>54</v>
      </c>
      <c r="C6575" s="1" t="str">
        <f>HYPERLINK("http://продеталь.рф/search.html?article=9521011","9521011")</f>
        <v>9521011</v>
      </c>
      <c r="D6575" t="s">
        <v>46</v>
      </c>
    </row>
    <row r="6576" spans="1:4" outlineLevel="1" x14ac:dyDescent="0.25">
      <c r="A6576" t="s">
        <v>747</v>
      </c>
      <c r="B6576" t="s">
        <v>54</v>
      </c>
      <c r="C6576" s="1" t="str">
        <f>HYPERLINK("http://продеталь.рф/search.html?article=9521012","9521012")</f>
        <v>9521012</v>
      </c>
      <c r="D6576" t="s">
        <v>46</v>
      </c>
    </row>
    <row r="6577" spans="1:4" outlineLevel="1" x14ac:dyDescent="0.25">
      <c r="A6577" t="s">
        <v>747</v>
      </c>
      <c r="B6577" t="s">
        <v>54</v>
      </c>
      <c r="C6577" s="1" t="str">
        <f>HYPERLINK("http://продеталь.рф/search.html?article=9521002","9521002")</f>
        <v>9521002</v>
      </c>
      <c r="D6577" t="s">
        <v>46</v>
      </c>
    </row>
    <row r="6578" spans="1:4" outlineLevel="1" x14ac:dyDescent="0.25">
      <c r="A6578" t="s">
        <v>747</v>
      </c>
      <c r="B6578" t="s">
        <v>19</v>
      </c>
      <c r="C6578" s="1" t="str">
        <f>HYPERLINK("http://продеталь.рф/search.html?article=ZVW2004CR","ZVW2004CR")</f>
        <v>ZVW2004CR</v>
      </c>
      <c r="D6578" t="s">
        <v>6</v>
      </c>
    </row>
    <row r="6579" spans="1:4" outlineLevel="1" x14ac:dyDescent="0.25">
      <c r="A6579" t="s">
        <v>747</v>
      </c>
      <c r="B6579" t="s">
        <v>28</v>
      </c>
      <c r="C6579" s="1" t="str">
        <f>HYPERLINK("http://продеталь.рф/search.html?article=RA65181A","RA65181A")</f>
        <v>RA65181A</v>
      </c>
      <c r="D6579" t="s">
        <v>6</v>
      </c>
    </row>
    <row r="6580" spans="1:4" outlineLevel="1" x14ac:dyDescent="0.25">
      <c r="A6580" t="s">
        <v>747</v>
      </c>
      <c r="B6580" t="s">
        <v>29</v>
      </c>
      <c r="C6580" s="1" t="str">
        <f>HYPERLINK("http://продеталь.рф/search.html?article=RP73962","RP73962")</f>
        <v>RP73962</v>
      </c>
      <c r="D6580" t="s">
        <v>6</v>
      </c>
    </row>
    <row r="6581" spans="1:4" outlineLevel="1" x14ac:dyDescent="0.25">
      <c r="A6581" t="s">
        <v>747</v>
      </c>
      <c r="B6581" t="s">
        <v>751</v>
      </c>
      <c r="C6581" s="1" t="str">
        <f>HYPERLINK("http://продеталь.рф/search.html?article=AK191253409E","AK191253409E")</f>
        <v>AK191253409E</v>
      </c>
      <c r="D6581" t="s">
        <v>244</v>
      </c>
    </row>
    <row r="6582" spans="1:4" outlineLevel="1" x14ac:dyDescent="0.25">
      <c r="A6582" t="s">
        <v>747</v>
      </c>
      <c r="B6582" t="s">
        <v>12</v>
      </c>
      <c r="C6582" s="1" t="str">
        <f>HYPERLINK("http://продеталь.рф/search.html?article=9534050","9534050")</f>
        <v>9534050</v>
      </c>
      <c r="D6582" t="s">
        <v>81</v>
      </c>
    </row>
    <row r="6583" spans="1:4" outlineLevel="1" x14ac:dyDescent="0.25">
      <c r="A6583" t="s">
        <v>747</v>
      </c>
      <c r="B6583" t="s">
        <v>12</v>
      </c>
      <c r="C6583" s="1" t="str">
        <f>HYPERLINK("http://продеталь.рф/search.html?article=PVW07008GK","PVW07008GK")</f>
        <v>PVW07008GK</v>
      </c>
      <c r="D6583" t="s">
        <v>6</v>
      </c>
    </row>
    <row r="6584" spans="1:4" outlineLevel="1" x14ac:dyDescent="0.25">
      <c r="A6584" t="s">
        <v>747</v>
      </c>
      <c r="B6584" t="s">
        <v>12</v>
      </c>
      <c r="C6584" s="1" t="str">
        <f>HYPERLINK("http://продеталь.рф/search.html?article=VW07008GA","VW07008GA")</f>
        <v>VW07008GA</v>
      </c>
      <c r="D6584" t="s">
        <v>2</v>
      </c>
    </row>
    <row r="6585" spans="1:4" outlineLevel="1" x14ac:dyDescent="0.25">
      <c r="A6585" t="s">
        <v>747</v>
      </c>
      <c r="B6585" t="s">
        <v>12</v>
      </c>
      <c r="C6585" s="1" t="str">
        <f>HYPERLINK("http://продеталь.рф/search.html?article=PVW07033GAK","PVW07033GAK")</f>
        <v>PVW07033GAK</v>
      </c>
      <c r="D6585" t="s">
        <v>6</v>
      </c>
    </row>
    <row r="6586" spans="1:4" outlineLevel="1" x14ac:dyDescent="0.25">
      <c r="A6586" t="s">
        <v>747</v>
      </c>
      <c r="B6586" t="s">
        <v>31</v>
      </c>
      <c r="C6586" s="1" t="str">
        <f>HYPERLINK("http://продеталь.рф/search.html?article=R1933839205L","R1933839205L")</f>
        <v>R1933839205L</v>
      </c>
      <c r="D6586" t="s">
        <v>6</v>
      </c>
    </row>
    <row r="6587" spans="1:4" outlineLevel="1" x14ac:dyDescent="0.25">
      <c r="A6587" t="s">
        <v>747</v>
      </c>
      <c r="B6587" t="s">
        <v>31</v>
      </c>
      <c r="C6587" s="1" t="str">
        <f>HYPERLINK("http://продеталь.рф/search.html?article=R1933839206R","R1933839206R")</f>
        <v>R1933839206R</v>
      </c>
      <c r="D6587" t="s">
        <v>6</v>
      </c>
    </row>
    <row r="6588" spans="1:4" outlineLevel="1" x14ac:dyDescent="0.25">
      <c r="A6588" t="s">
        <v>747</v>
      </c>
      <c r="B6588" t="s">
        <v>31</v>
      </c>
      <c r="C6588" s="1" t="str">
        <f>HYPERLINK("http://продеталь.рф/search.html?article=R191837205AL","R191837205AL")</f>
        <v>R191837205AL</v>
      </c>
      <c r="D6588" t="s">
        <v>6</v>
      </c>
    </row>
    <row r="6589" spans="1:4" outlineLevel="1" x14ac:dyDescent="0.25">
      <c r="A6589" t="s">
        <v>747</v>
      </c>
      <c r="B6589" t="s">
        <v>31</v>
      </c>
      <c r="C6589" s="1" t="str">
        <f>HYPERLINK("http://продеталь.рф/search.html?article=R191837206AR","R191837206AR")</f>
        <v>R191837206AR</v>
      </c>
      <c r="D6589" t="s">
        <v>6</v>
      </c>
    </row>
    <row r="6590" spans="1:4" outlineLevel="1" x14ac:dyDescent="0.25">
      <c r="A6590" t="s">
        <v>747</v>
      </c>
      <c r="B6590" t="s">
        <v>64</v>
      </c>
      <c r="C6590" s="1" t="str">
        <f>HYPERLINK("http://продеталь.рф/search.html?article=ZVW1607L","ZVW1607L")</f>
        <v>ZVW1607L</v>
      </c>
      <c r="D6590" t="s">
        <v>6</v>
      </c>
    </row>
    <row r="6591" spans="1:4" outlineLevel="1" x14ac:dyDescent="0.25">
      <c r="A6591" t="s">
        <v>747</v>
      </c>
      <c r="B6591" t="s">
        <v>64</v>
      </c>
      <c r="C6591" s="1" t="str">
        <f>HYPERLINK("http://продеталь.рф/search.html?article=12142300","12142300")</f>
        <v>12142300</v>
      </c>
      <c r="D6591" t="s">
        <v>4</v>
      </c>
    </row>
    <row r="6592" spans="1:4" outlineLevel="1" x14ac:dyDescent="0.25">
      <c r="A6592" t="s">
        <v>747</v>
      </c>
      <c r="B6592" t="s">
        <v>64</v>
      </c>
      <c r="C6592" s="1" t="str">
        <f>HYPERLINK("http://продеталь.рф/search.html?article=ZVW1607CL","ZVW1607CL")</f>
        <v>ZVW1607CL</v>
      </c>
      <c r="D6592" t="s">
        <v>6</v>
      </c>
    </row>
    <row r="6593" spans="1:4" outlineLevel="1" x14ac:dyDescent="0.25">
      <c r="A6593" t="s">
        <v>747</v>
      </c>
      <c r="B6593" t="s">
        <v>64</v>
      </c>
      <c r="C6593" s="1" t="str">
        <f>HYPERLINK("http://продеталь.рф/search.html?article=ZVW1607CR","ZVW1607CR")</f>
        <v>ZVW1607CR</v>
      </c>
      <c r="D6593" t="s">
        <v>6</v>
      </c>
    </row>
    <row r="6594" spans="1:4" x14ac:dyDescent="0.25">
      <c r="A6594" t="s">
        <v>752</v>
      </c>
      <c r="B6594" s="2" t="s">
        <v>752</v>
      </c>
      <c r="C6594" s="2"/>
      <c r="D6594" s="2"/>
    </row>
    <row r="6595" spans="1:4" outlineLevel="1" x14ac:dyDescent="0.25">
      <c r="A6595" t="s">
        <v>752</v>
      </c>
      <c r="B6595" t="s">
        <v>11</v>
      </c>
      <c r="C6595" s="1" t="str">
        <f>HYPERLINK("http://продеталь.рф/search.html?article=25020","25020")</f>
        <v>25020</v>
      </c>
      <c r="D6595" t="s">
        <v>163</v>
      </c>
    </row>
    <row r="6596" spans="1:4" outlineLevel="1" x14ac:dyDescent="0.25">
      <c r="A6596" t="s">
        <v>752</v>
      </c>
      <c r="B6596" t="s">
        <v>11</v>
      </c>
      <c r="C6596" s="1" t="str">
        <f>HYPERLINK("http://продеталь.рф/search.html?article=25015","25015")</f>
        <v>25015</v>
      </c>
      <c r="D6596" t="s">
        <v>163</v>
      </c>
    </row>
    <row r="6597" spans="1:4" outlineLevel="1" x14ac:dyDescent="0.25">
      <c r="A6597" t="s">
        <v>752</v>
      </c>
      <c r="B6597" t="s">
        <v>15</v>
      </c>
      <c r="C6597" s="1" t="str">
        <f>HYPERLINK("http://продеталь.рф/search.html?article=3370003","3370003")</f>
        <v>3370003</v>
      </c>
      <c r="D6597" t="s">
        <v>4</v>
      </c>
    </row>
    <row r="6598" spans="1:4" outlineLevel="1" x14ac:dyDescent="0.25">
      <c r="A6598" t="s">
        <v>752</v>
      </c>
      <c r="B6598" t="s">
        <v>15</v>
      </c>
      <c r="C6598" s="1" t="str">
        <f>HYPERLINK("http://продеталь.рф/search.html?article=3370006","3370006")</f>
        <v>3370006</v>
      </c>
      <c r="D6598" t="s">
        <v>4</v>
      </c>
    </row>
    <row r="6599" spans="1:4" outlineLevel="1" x14ac:dyDescent="0.25">
      <c r="A6599" t="s">
        <v>752</v>
      </c>
      <c r="B6599" t="s">
        <v>15</v>
      </c>
      <c r="C6599" s="1" t="str">
        <f>HYPERLINK("http://продеталь.рф/search.html?article=3370005","3370005")</f>
        <v>3370005</v>
      </c>
      <c r="D6599" t="s">
        <v>4</v>
      </c>
    </row>
    <row r="6600" spans="1:4" outlineLevel="1" x14ac:dyDescent="0.25">
      <c r="A6600" t="s">
        <v>752</v>
      </c>
      <c r="B6600" t="s">
        <v>23</v>
      </c>
      <c r="C6600" s="1" t="str">
        <f>HYPERLINK("http://продеталь.рф/search.html?article=1175040015B3","1175040015B3")</f>
        <v>1175040015B3</v>
      </c>
      <c r="D6600" t="s">
        <v>4</v>
      </c>
    </row>
    <row r="6601" spans="1:4" outlineLevel="1" x14ac:dyDescent="0.25">
      <c r="A6601" t="s">
        <v>752</v>
      </c>
      <c r="B6601" t="s">
        <v>23</v>
      </c>
      <c r="C6601" s="1" t="str">
        <f>HYPERLINK("http://продеталь.рф/search.html?article=117499","117499")</f>
        <v>117499</v>
      </c>
      <c r="D6601" t="s">
        <v>4</v>
      </c>
    </row>
    <row r="6602" spans="1:4" outlineLevel="1" x14ac:dyDescent="0.25">
      <c r="A6602" t="s">
        <v>752</v>
      </c>
      <c r="B6602" t="s">
        <v>23</v>
      </c>
      <c r="C6602" s="1" t="str">
        <f>HYPERLINK("http://продеталь.рф/search.html?article=117498","117498")</f>
        <v>117498</v>
      </c>
      <c r="D6602" t="s">
        <v>4</v>
      </c>
    </row>
    <row r="6603" spans="1:4" outlineLevel="1" x14ac:dyDescent="0.25">
      <c r="A6603" t="s">
        <v>752</v>
      </c>
      <c r="B6603" t="s">
        <v>23</v>
      </c>
      <c r="C6603" s="1" t="str">
        <f>HYPERLINK("http://продеталь.рф/search.html?article=ZVW1916CL","ZVW1916CL")</f>
        <v>ZVW1916CL</v>
      </c>
      <c r="D6603" t="s">
        <v>6</v>
      </c>
    </row>
    <row r="6604" spans="1:4" outlineLevel="1" x14ac:dyDescent="0.25">
      <c r="A6604" t="s">
        <v>752</v>
      </c>
      <c r="B6604" t="s">
        <v>45</v>
      </c>
      <c r="C6604" s="1" t="str">
        <f>HYPERLINK("http://продеталь.рф/search.html?article=9522592","9522592")</f>
        <v>9522592</v>
      </c>
      <c r="D6604" t="s">
        <v>46</v>
      </c>
    </row>
    <row r="6605" spans="1:4" outlineLevel="1" x14ac:dyDescent="0.25">
      <c r="A6605" t="s">
        <v>752</v>
      </c>
      <c r="B6605" t="s">
        <v>45</v>
      </c>
      <c r="C6605" s="1" t="str">
        <f>HYPERLINK("http://продеталь.рф/search.html?article=9522581","9522581")</f>
        <v>9522581</v>
      </c>
      <c r="D6605" t="s">
        <v>46</v>
      </c>
    </row>
    <row r="6606" spans="1:4" outlineLevel="1" x14ac:dyDescent="0.25">
      <c r="A6606" t="s">
        <v>752</v>
      </c>
      <c r="B6606" t="s">
        <v>45</v>
      </c>
      <c r="C6606" s="1" t="str">
        <f>HYPERLINK("http://продеталь.рф/search.html?article=9522582","9522582")</f>
        <v>9522582</v>
      </c>
      <c r="D6606" t="s">
        <v>46</v>
      </c>
    </row>
    <row r="6607" spans="1:4" outlineLevel="1" x14ac:dyDescent="0.25">
      <c r="A6607" t="s">
        <v>752</v>
      </c>
      <c r="B6607" t="s">
        <v>1</v>
      </c>
      <c r="C6607" s="1" t="str">
        <f>HYPERLINK("http://продеталь.рф/search.html?article=PVW20010A","PVW20010A")</f>
        <v>PVW20010A</v>
      </c>
      <c r="D6607" t="s">
        <v>6</v>
      </c>
    </row>
    <row r="6608" spans="1:4" outlineLevel="1" x14ac:dyDescent="0.25">
      <c r="A6608" t="s">
        <v>752</v>
      </c>
      <c r="B6608" t="s">
        <v>1</v>
      </c>
      <c r="C6608" s="1" t="str">
        <f>HYPERLINK("http://продеталь.рф/search.html?article=VW150150","VW150150")</f>
        <v>VW150150</v>
      </c>
      <c r="D6608" t="s">
        <v>9</v>
      </c>
    </row>
    <row r="6609" spans="1:4" outlineLevel="1" x14ac:dyDescent="0.25">
      <c r="A6609" t="s">
        <v>752</v>
      </c>
      <c r="B6609" t="s">
        <v>24</v>
      </c>
      <c r="C6609" s="1" t="str">
        <f>HYPERLINK("http://продеталь.рф/search.html?article=VW240162","VW240162")</f>
        <v>VW240162</v>
      </c>
      <c r="D6609" t="s">
        <v>9</v>
      </c>
    </row>
    <row r="6610" spans="1:4" outlineLevel="1" x14ac:dyDescent="0.25">
      <c r="A6610" t="s">
        <v>752</v>
      </c>
      <c r="B6610" t="s">
        <v>24</v>
      </c>
      <c r="C6610" s="1" t="str">
        <f>HYPERLINK("http://продеталь.рф/search.html?article=VW240161","VW240161")</f>
        <v>VW240161</v>
      </c>
      <c r="D6610" t="s">
        <v>9</v>
      </c>
    </row>
    <row r="6611" spans="1:4" outlineLevel="1" x14ac:dyDescent="0.25">
      <c r="A6611" t="s">
        <v>752</v>
      </c>
      <c r="B6611" t="s">
        <v>24</v>
      </c>
      <c r="C6611" s="1" t="str">
        <f>HYPERLINK("http://продеталь.рф/search.html?article=PVW10011KDR","PVW10011KDR")</f>
        <v>PVW10011KDR</v>
      </c>
      <c r="D6611" t="s">
        <v>6</v>
      </c>
    </row>
    <row r="6612" spans="1:4" outlineLevel="1" x14ac:dyDescent="0.25">
      <c r="A6612" t="s">
        <v>752</v>
      </c>
      <c r="B6612" t="s">
        <v>24</v>
      </c>
      <c r="C6612" s="1" t="str">
        <f>HYPERLINK("http://продеталь.рф/search.html?article=88023005090","88023005090")</f>
        <v>88023005090</v>
      </c>
      <c r="D6612" t="s">
        <v>49</v>
      </c>
    </row>
    <row r="6613" spans="1:4" outlineLevel="1" x14ac:dyDescent="0.25">
      <c r="A6613" t="s">
        <v>752</v>
      </c>
      <c r="B6613" t="s">
        <v>24</v>
      </c>
      <c r="C6613" s="1" t="str">
        <f>HYPERLINK("http://продеталь.рф/search.html?article=02210111","02210111")</f>
        <v>02210111</v>
      </c>
      <c r="D6613" t="s">
        <v>47</v>
      </c>
    </row>
    <row r="6614" spans="1:4" outlineLevel="1" x14ac:dyDescent="0.25">
      <c r="A6614" t="s">
        <v>752</v>
      </c>
      <c r="B6614" t="s">
        <v>66</v>
      </c>
      <c r="C6614" s="1" t="str">
        <f>HYPERLINK("http://продеталь.рф/search.html?article=BK049","BK049")</f>
        <v>BK049</v>
      </c>
      <c r="D6614" t="s">
        <v>6</v>
      </c>
    </row>
    <row r="6615" spans="1:4" outlineLevel="1" x14ac:dyDescent="0.25">
      <c r="A6615" t="s">
        <v>752</v>
      </c>
      <c r="B6615" t="s">
        <v>66</v>
      </c>
      <c r="C6615" s="1" t="str">
        <f>HYPERLINK("http://продеталь.рф/search.html?article=BK012","BK012")</f>
        <v>BK012</v>
      </c>
      <c r="D6615" t="s">
        <v>6</v>
      </c>
    </row>
    <row r="6616" spans="1:4" outlineLevel="1" x14ac:dyDescent="0.25">
      <c r="A6616" t="s">
        <v>752</v>
      </c>
      <c r="B6616" t="s">
        <v>50</v>
      </c>
      <c r="C6616" s="1" t="str">
        <f>HYPERLINK("http://продеталь.рф/search.html?article=88023024","88023024")</f>
        <v>88023024</v>
      </c>
      <c r="D6616" t="s">
        <v>49</v>
      </c>
    </row>
    <row r="6617" spans="1:4" outlineLevel="1" x14ac:dyDescent="0.25">
      <c r="A6617" t="s">
        <v>752</v>
      </c>
      <c r="B6617" t="s">
        <v>37</v>
      </c>
      <c r="C6617" s="1" t="str">
        <f>HYPERLINK("http://продеталь.рф/search.html?article=PVW88002A","PVW88002A")</f>
        <v>PVW88002A</v>
      </c>
      <c r="D6617" t="s">
        <v>6</v>
      </c>
    </row>
    <row r="6618" spans="1:4" outlineLevel="1" x14ac:dyDescent="0.25">
      <c r="A6618" t="s">
        <v>752</v>
      </c>
      <c r="B6618" t="s">
        <v>38</v>
      </c>
      <c r="C6618" s="1" t="str">
        <f>HYPERLINK("http://продеталь.рф/search.html?article=242138","242138")</f>
        <v>242138</v>
      </c>
      <c r="D6618" t="s">
        <v>61</v>
      </c>
    </row>
    <row r="6619" spans="1:4" outlineLevel="1" x14ac:dyDescent="0.25">
      <c r="A6619" t="s">
        <v>752</v>
      </c>
      <c r="B6619" t="s">
        <v>339</v>
      </c>
      <c r="C6619" s="1" t="str">
        <f>HYPERLINK("http://продеталь.рф/search.html?article=0921910","0921910")</f>
        <v>0921910</v>
      </c>
      <c r="D6619" t="s">
        <v>58</v>
      </c>
    </row>
    <row r="6620" spans="1:4" outlineLevel="1" x14ac:dyDescent="0.25">
      <c r="A6620" t="s">
        <v>752</v>
      </c>
      <c r="B6620" t="s">
        <v>339</v>
      </c>
      <c r="C6620" s="1" t="str">
        <f>HYPERLINK("http://продеталь.рф/search.html?article=PVW035036AL","PVW035036AL")</f>
        <v>PVW035036AL</v>
      </c>
      <c r="D6620" t="s">
        <v>6</v>
      </c>
    </row>
    <row r="6621" spans="1:4" outlineLevel="1" x14ac:dyDescent="0.25">
      <c r="A6621" t="s">
        <v>752</v>
      </c>
      <c r="B6621" t="s">
        <v>339</v>
      </c>
      <c r="C6621" s="1" t="str">
        <f>HYPERLINK("http://продеталь.рф/search.html?article=PVW035036AR","PVW035036AR")</f>
        <v>PVW035036AR</v>
      </c>
      <c r="D6621" t="s">
        <v>6</v>
      </c>
    </row>
    <row r="6622" spans="1:4" outlineLevel="1" x14ac:dyDescent="0.25">
      <c r="A6622" t="s">
        <v>752</v>
      </c>
      <c r="B6622" t="s">
        <v>339</v>
      </c>
      <c r="C6622" s="1" t="str">
        <f>HYPERLINK("http://продеталь.рф/search.html?article=PVW035036BL","PVW035036BL")</f>
        <v>PVW035036BL</v>
      </c>
      <c r="D6622" t="s">
        <v>6</v>
      </c>
    </row>
    <row r="6623" spans="1:4" outlineLevel="1" x14ac:dyDescent="0.25">
      <c r="A6623" t="s">
        <v>752</v>
      </c>
      <c r="B6623" t="s">
        <v>339</v>
      </c>
      <c r="C6623" s="1" t="str">
        <f>HYPERLINK("http://продеталь.рф/search.html?article=PVW035036BR","PVW035036BR")</f>
        <v>PVW035036BR</v>
      </c>
      <c r="D6623" t="s">
        <v>6</v>
      </c>
    </row>
    <row r="6624" spans="1:4" outlineLevel="1" x14ac:dyDescent="0.25">
      <c r="A6624" t="s">
        <v>752</v>
      </c>
      <c r="B6624" t="s">
        <v>147</v>
      </c>
      <c r="C6624" s="1" t="str">
        <f>HYPERLINK("http://продеталь.рф/search.html?article=121601016","121601016")</f>
        <v>121601016</v>
      </c>
      <c r="D6624" t="s">
        <v>4</v>
      </c>
    </row>
    <row r="6625" spans="1:4" outlineLevel="1" x14ac:dyDescent="0.25">
      <c r="A6625" t="s">
        <v>752</v>
      </c>
      <c r="B6625" t="s">
        <v>147</v>
      </c>
      <c r="C6625" s="1" t="str">
        <f>HYPERLINK("http://продеталь.рф/search.html?article=125092016","125092016")</f>
        <v>125092016</v>
      </c>
      <c r="D6625" t="s">
        <v>4</v>
      </c>
    </row>
    <row r="6626" spans="1:4" outlineLevel="1" x14ac:dyDescent="0.25">
      <c r="A6626" t="s">
        <v>752</v>
      </c>
      <c r="B6626" t="s">
        <v>147</v>
      </c>
      <c r="C6626" s="1" t="str">
        <f>HYPERLINK("http://продеталь.рф/search.html?article=121602016","121602016")</f>
        <v>121602016</v>
      </c>
      <c r="D6626" t="s">
        <v>4</v>
      </c>
    </row>
    <row r="6627" spans="1:4" outlineLevel="1" x14ac:dyDescent="0.25">
      <c r="A6627" t="s">
        <v>752</v>
      </c>
      <c r="B6627" t="s">
        <v>27</v>
      </c>
      <c r="C6627" s="1" t="str">
        <f>HYPERLINK("http://продеталь.рф/search.html?article=0921471","0921471")</f>
        <v>0921471</v>
      </c>
      <c r="D6627" t="s">
        <v>58</v>
      </c>
    </row>
    <row r="6628" spans="1:4" outlineLevel="1" x14ac:dyDescent="0.25">
      <c r="A6628" t="s">
        <v>752</v>
      </c>
      <c r="B6628" t="s">
        <v>27</v>
      </c>
      <c r="C6628" s="1" t="str">
        <f>HYPERLINK("http://продеталь.рф/search.html?article=0921473","0921473")</f>
        <v>0921473</v>
      </c>
      <c r="D6628" t="s">
        <v>58</v>
      </c>
    </row>
    <row r="6629" spans="1:4" outlineLevel="1" x14ac:dyDescent="0.25">
      <c r="A6629" t="s">
        <v>752</v>
      </c>
      <c r="B6629" t="s">
        <v>3</v>
      </c>
      <c r="C6629" s="1" t="str">
        <f>HYPERLINK("http://продеталь.рф/search.html?article=203471052","203471052")</f>
        <v>203471052</v>
      </c>
      <c r="D6629" t="s">
        <v>4</v>
      </c>
    </row>
    <row r="6630" spans="1:4" outlineLevel="1" x14ac:dyDescent="0.25">
      <c r="A6630" t="s">
        <v>752</v>
      </c>
      <c r="B6630" t="s">
        <v>3</v>
      </c>
      <c r="C6630" s="1" t="str">
        <f>HYPERLINK("http://продеталь.рф/search.html?article=205018082","205018082")</f>
        <v>205018082</v>
      </c>
      <c r="D6630" t="s">
        <v>4</v>
      </c>
    </row>
    <row r="6631" spans="1:4" outlineLevel="1" x14ac:dyDescent="0.25">
      <c r="A6631" t="s">
        <v>752</v>
      </c>
      <c r="B6631" t="s">
        <v>3</v>
      </c>
      <c r="C6631" s="1" t="str">
        <f>HYPERLINK("http://продеталь.рф/search.html?article=205017082","205017082")</f>
        <v>205017082</v>
      </c>
      <c r="D6631" t="s">
        <v>4</v>
      </c>
    </row>
    <row r="6632" spans="1:4" outlineLevel="1" x14ac:dyDescent="0.25">
      <c r="A6632" t="s">
        <v>752</v>
      </c>
      <c r="B6632" t="s">
        <v>3</v>
      </c>
      <c r="C6632" s="1" t="str">
        <f>HYPERLINK("http://продеталь.рф/search.html?article=203351082","203351082")</f>
        <v>203351082</v>
      </c>
      <c r="D6632" t="s">
        <v>4</v>
      </c>
    </row>
    <row r="6633" spans="1:4" outlineLevel="1" x14ac:dyDescent="0.25">
      <c r="A6633" t="s">
        <v>752</v>
      </c>
      <c r="B6633" t="s">
        <v>3</v>
      </c>
      <c r="C6633" s="1" t="str">
        <f>HYPERLINK("http://продеталь.рф/search.html?article=ZVW1111KCL","ZVW1111KCL")</f>
        <v>ZVW1111KCL</v>
      </c>
      <c r="D6633" t="s">
        <v>6</v>
      </c>
    </row>
    <row r="6634" spans="1:4" outlineLevel="1" x14ac:dyDescent="0.25">
      <c r="A6634" t="s">
        <v>752</v>
      </c>
      <c r="B6634" t="s">
        <v>3</v>
      </c>
      <c r="C6634" s="1" t="str">
        <f>HYPERLINK("http://продеталь.рф/search.html?article=ZVW1111KCR","ZVW1111KCR")</f>
        <v>ZVW1111KCR</v>
      </c>
      <c r="D6634" t="s">
        <v>6</v>
      </c>
    </row>
    <row r="6635" spans="1:4" outlineLevel="1" x14ac:dyDescent="0.25">
      <c r="A6635" t="s">
        <v>752</v>
      </c>
      <c r="B6635" t="s">
        <v>3</v>
      </c>
      <c r="C6635" s="1" t="str">
        <f>HYPERLINK("http://продеталь.рф/search.html?article=ZVW1111KTCR","ZVW1111KTCR")</f>
        <v>ZVW1111KTCR</v>
      </c>
      <c r="D6635" t="s">
        <v>6</v>
      </c>
    </row>
    <row r="6636" spans="1:4" outlineLevel="1" x14ac:dyDescent="0.25">
      <c r="A6636" t="s">
        <v>752</v>
      </c>
      <c r="B6636" t="s">
        <v>3</v>
      </c>
      <c r="C6636" s="1" t="str">
        <f>HYPERLINK("http://продеталь.рф/search.html?article=ZVW1111L","ZVW1111L")</f>
        <v>ZVW1111L</v>
      </c>
      <c r="D6636" t="s">
        <v>6</v>
      </c>
    </row>
    <row r="6637" spans="1:4" outlineLevel="1" x14ac:dyDescent="0.25">
      <c r="A6637" t="s">
        <v>752</v>
      </c>
      <c r="B6637" t="s">
        <v>3</v>
      </c>
      <c r="C6637" s="1" t="str">
        <f>HYPERLINK("http://продеталь.рф/search.html?article=ZVW1111R","ZVW1111R")</f>
        <v>ZVW1111R</v>
      </c>
      <c r="D6637" t="s">
        <v>6</v>
      </c>
    </row>
    <row r="6638" spans="1:4" outlineLevel="1" x14ac:dyDescent="0.25">
      <c r="A6638" t="s">
        <v>752</v>
      </c>
      <c r="B6638" t="s">
        <v>5</v>
      </c>
      <c r="C6638" s="1" t="str">
        <f>HYPERLINK("http://продеталь.рф/search.html?article=211913","211913")</f>
        <v>211913</v>
      </c>
      <c r="D6638" t="s">
        <v>21</v>
      </c>
    </row>
    <row r="6639" spans="1:4" outlineLevel="1" x14ac:dyDescent="0.25">
      <c r="A6639" t="s">
        <v>752</v>
      </c>
      <c r="B6639" t="s">
        <v>5</v>
      </c>
      <c r="C6639" s="1" t="str">
        <f>HYPERLINK("http://продеталь.рф/search.html?article=VW11011AR","VW11011AR")</f>
        <v>VW11011AR</v>
      </c>
      <c r="D6639" t="s">
        <v>2</v>
      </c>
    </row>
    <row r="6640" spans="1:4" outlineLevel="1" x14ac:dyDescent="0.25">
      <c r="A6640" t="s">
        <v>752</v>
      </c>
      <c r="B6640" t="s">
        <v>52</v>
      </c>
      <c r="C6640" s="1" t="str">
        <f>HYPERLINK("http://продеталь.рф/search.html?article=RG1491","RG1491")</f>
        <v>RG1491</v>
      </c>
      <c r="D6640" t="s">
        <v>53</v>
      </c>
    </row>
    <row r="6641" spans="1:4" outlineLevel="1" x14ac:dyDescent="0.25">
      <c r="A6641" t="s">
        <v>752</v>
      </c>
      <c r="B6641" t="s">
        <v>52</v>
      </c>
      <c r="C6641" s="1" t="str">
        <f>HYPERLINK("http://продеталь.рф/search.html?article=RG575","RG575")</f>
        <v>RG575</v>
      </c>
      <c r="D6641" t="s">
        <v>53</v>
      </c>
    </row>
    <row r="6642" spans="1:4" outlineLevel="1" x14ac:dyDescent="0.25">
      <c r="A6642" t="s">
        <v>752</v>
      </c>
      <c r="B6642" t="s">
        <v>54</v>
      </c>
      <c r="C6642" s="1" t="str">
        <f>HYPERLINK("http://продеталь.рф/search.html?article=9522001","9522001")</f>
        <v>9522001</v>
      </c>
      <c r="D6642" t="s">
        <v>46</v>
      </c>
    </row>
    <row r="6643" spans="1:4" outlineLevel="1" x14ac:dyDescent="0.25">
      <c r="A6643" t="s">
        <v>752</v>
      </c>
      <c r="B6643" t="s">
        <v>54</v>
      </c>
      <c r="C6643" s="1" t="str">
        <f>HYPERLINK("http://продеталь.рф/search.html?article=9522002","9522002")</f>
        <v>9522002</v>
      </c>
      <c r="D6643" t="s">
        <v>46</v>
      </c>
    </row>
    <row r="6644" spans="1:4" outlineLevel="1" x14ac:dyDescent="0.25">
      <c r="A6644" t="s">
        <v>752</v>
      </c>
      <c r="B6644" t="s">
        <v>54</v>
      </c>
      <c r="C6644" s="1" t="str">
        <f>HYPERLINK("http://продеталь.рф/search.html?article=PVW76002EL","PVW76002EL")</f>
        <v>PVW76002EL</v>
      </c>
      <c r="D6644" t="s">
        <v>6</v>
      </c>
    </row>
    <row r="6645" spans="1:4" outlineLevel="1" x14ac:dyDescent="0.25">
      <c r="A6645" t="s">
        <v>752</v>
      </c>
      <c r="B6645" t="s">
        <v>54</v>
      </c>
      <c r="C6645" s="1" t="str">
        <f>HYPERLINK("http://продеталь.рф/search.html?article=PVW76002ER","PVW76002ER")</f>
        <v>PVW76002ER</v>
      </c>
      <c r="D6645" t="s">
        <v>6</v>
      </c>
    </row>
    <row r="6646" spans="1:4" outlineLevel="1" x14ac:dyDescent="0.25">
      <c r="A6646" t="s">
        <v>752</v>
      </c>
      <c r="B6646" t="s">
        <v>19</v>
      </c>
      <c r="C6646" s="1" t="str">
        <f>HYPERLINK("http://продеталь.рф/search.html?article=191142152","191142152")</f>
        <v>191142152</v>
      </c>
      <c r="D6646" t="s">
        <v>4</v>
      </c>
    </row>
    <row r="6647" spans="1:4" outlineLevel="1" x14ac:dyDescent="0.25">
      <c r="A6647" t="s">
        <v>752</v>
      </c>
      <c r="B6647" t="s">
        <v>19</v>
      </c>
      <c r="C6647" s="1" t="str">
        <f>HYPERLINK("http://продеталь.рф/search.html?article=191141052","191141052")</f>
        <v>191141052</v>
      </c>
      <c r="D6647" t="s">
        <v>4</v>
      </c>
    </row>
    <row r="6648" spans="1:4" outlineLevel="1" x14ac:dyDescent="0.25">
      <c r="A6648" t="s">
        <v>752</v>
      </c>
      <c r="B6648" t="s">
        <v>19</v>
      </c>
      <c r="C6648" s="1" t="str">
        <f>HYPERLINK("http://продеталь.рф/search.html?article=19015300530","19015300530")</f>
        <v>19015300530</v>
      </c>
      <c r="D6648" t="s">
        <v>4</v>
      </c>
    </row>
    <row r="6649" spans="1:4" outlineLevel="1" x14ac:dyDescent="0.25">
      <c r="A6649" t="s">
        <v>752</v>
      </c>
      <c r="B6649" t="s">
        <v>28</v>
      </c>
      <c r="C6649" s="1" t="str">
        <f>HYPERLINK("http://продеталь.рф/search.html?article=RA65187A","RA65187A")</f>
        <v>RA65187A</v>
      </c>
      <c r="D6649" t="s">
        <v>6</v>
      </c>
    </row>
    <row r="6650" spans="1:4" outlineLevel="1" x14ac:dyDescent="0.25">
      <c r="A6650" t="s">
        <v>752</v>
      </c>
      <c r="B6650" t="s">
        <v>28</v>
      </c>
      <c r="C6650" s="1" t="str">
        <f>HYPERLINK("http://продеталь.рф/search.html?article=RA65193A","RA65193A")</f>
        <v>RA65193A</v>
      </c>
      <c r="D6650" t="s">
        <v>6</v>
      </c>
    </row>
    <row r="6651" spans="1:4" outlineLevel="1" x14ac:dyDescent="0.25">
      <c r="A6651" t="s">
        <v>752</v>
      </c>
      <c r="B6651" t="s">
        <v>28</v>
      </c>
      <c r="C6651" s="1" t="str">
        <f>HYPERLINK("http://продеталь.рф/search.html?article=RA65194A","RA65194A")</f>
        <v>RA65194A</v>
      </c>
      <c r="D6651" t="s">
        <v>6</v>
      </c>
    </row>
    <row r="6652" spans="1:4" outlineLevel="1" x14ac:dyDescent="0.25">
      <c r="A6652" t="s">
        <v>752</v>
      </c>
      <c r="B6652" t="s">
        <v>8</v>
      </c>
      <c r="C6652" s="1" t="str">
        <f>HYPERLINK("http://продеталь.рф/search.html?article=RC94164","RC94164")</f>
        <v>RC94164</v>
      </c>
      <c r="D6652" t="s">
        <v>6</v>
      </c>
    </row>
    <row r="6653" spans="1:4" outlineLevel="1" x14ac:dyDescent="0.25">
      <c r="A6653" t="s">
        <v>752</v>
      </c>
      <c r="B6653" t="s">
        <v>40</v>
      </c>
      <c r="C6653" s="1" t="str">
        <f>HYPERLINK("http://продеталь.рф/search.html?article=VW99000CL","VW99000CL")</f>
        <v>VW99000CL</v>
      </c>
      <c r="D6653" t="s">
        <v>2</v>
      </c>
    </row>
    <row r="6654" spans="1:4" outlineLevel="1" x14ac:dyDescent="0.25">
      <c r="A6654" t="s">
        <v>752</v>
      </c>
      <c r="B6654" t="s">
        <v>40</v>
      </c>
      <c r="C6654" s="1" t="str">
        <f>HYPERLINK("http://продеталь.рф/search.html?article=VW99000CR","VW99000CR")</f>
        <v>VW99000CR</v>
      </c>
      <c r="D6654" t="s">
        <v>2</v>
      </c>
    </row>
    <row r="6655" spans="1:4" outlineLevel="1" x14ac:dyDescent="0.25">
      <c r="A6655" t="s">
        <v>752</v>
      </c>
      <c r="B6655" t="s">
        <v>40</v>
      </c>
      <c r="C6655" s="1" t="str">
        <f>HYPERLINK("http://продеталь.рф/search.html?article=PVW993665L","PVW993665L")</f>
        <v>PVW993665L</v>
      </c>
      <c r="D6655" t="s">
        <v>6</v>
      </c>
    </row>
    <row r="6656" spans="1:4" outlineLevel="1" x14ac:dyDescent="0.25">
      <c r="A6656" t="s">
        <v>752</v>
      </c>
      <c r="B6656" t="s">
        <v>40</v>
      </c>
      <c r="C6656" s="1" t="str">
        <f>HYPERLINK("http://продеталь.рф/search.html?article=PVW993665R","PVW993665R")</f>
        <v>PVW993665R</v>
      </c>
      <c r="D6656" t="s">
        <v>6</v>
      </c>
    </row>
    <row r="6657" spans="1:4" outlineLevel="1" x14ac:dyDescent="0.25">
      <c r="A6657" t="s">
        <v>752</v>
      </c>
      <c r="B6657" t="s">
        <v>12</v>
      </c>
      <c r="C6657" s="1" t="str">
        <f>HYPERLINK("http://продеталь.рф/search.html?article=VW07023GA","VW07023GA")</f>
        <v>VW07023GA</v>
      </c>
      <c r="D6657" t="s">
        <v>2</v>
      </c>
    </row>
    <row r="6658" spans="1:4" outlineLevel="1" x14ac:dyDescent="0.25">
      <c r="A6658" t="s">
        <v>752</v>
      </c>
      <c r="B6658" t="s">
        <v>12</v>
      </c>
      <c r="C6658" s="1" t="str">
        <f>HYPERLINK("http://продеталь.рф/search.html?article=GF51","GF51")</f>
        <v>GF51</v>
      </c>
      <c r="D6658" t="s">
        <v>18</v>
      </c>
    </row>
    <row r="6659" spans="1:4" outlineLevel="1" x14ac:dyDescent="0.25">
      <c r="A6659" t="s">
        <v>752</v>
      </c>
      <c r="B6659" t="s">
        <v>31</v>
      </c>
      <c r="C6659" s="1" t="str">
        <f>HYPERLINK("http://продеталь.рф/search.html?article=R1HO837207LR","R1HO837207LR")</f>
        <v>R1HO837207LR</v>
      </c>
      <c r="D6659" t="s">
        <v>6</v>
      </c>
    </row>
    <row r="6660" spans="1:4" outlineLevel="1" x14ac:dyDescent="0.25">
      <c r="A6660" t="s">
        <v>752</v>
      </c>
      <c r="B6660" t="s">
        <v>71</v>
      </c>
      <c r="C6660" s="1" t="str">
        <f>HYPERLINK("http://продеталь.рф/search.html?article=45020","45020")</f>
        <v>45020</v>
      </c>
      <c r="D6660" t="s">
        <v>163</v>
      </c>
    </row>
    <row r="6661" spans="1:4" outlineLevel="1" x14ac:dyDescent="0.25">
      <c r="A6661" t="s">
        <v>752</v>
      </c>
      <c r="B6661" t="s">
        <v>71</v>
      </c>
      <c r="C6661" s="1" t="str">
        <f>HYPERLINK("http://продеталь.рф/search.html?article=242672","242672")</f>
        <v>242672</v>
      </c>
      <c r="D6661" t="s">
        <v>61</v>
      </c>
    </row>
    <row r="6662" spans="1:4" outlineLevel="1" x14ac:dyDescent="0.25">
      <c r="A6662" t="s">
        <v>752</v>
      </c>
      <c r="B6662" t="s">
        <v>71</v>
      </c>
      <c r="C6662" s="1" t="str">
        <f>HYPERLINK("http://продеталь.рф/search.html?article=242671","242671")</f>
        <v>242671</v>
      </c>
      <c r="D6662" t="s">
        <v>61</v>
      </c>
    </row>
    <row r="6663" spans="1:4" outlineLevel="1" x14ac:dyDescent="0.25">
      <c r="A6663" t="s">
        <v>752</v>
      </c>
      <c r="B6663" t="s">
        <v>32</v>
      </c>
      <c r="C6663" s="1" t="str">
        <f>HYPERLINK("http://продеталь.рф/search.html?article=33700061","33700061")</f>
        <v>33700061</v>
      </c>
      <c r="D6663" t="s">
        <v>4</v>
      </c>
    </row>
    <row r="6664" spans="1:4" outlineLevel="1" x14ac:dyDescent="0.25">
      <c r="A6664" t="s">
        <v>752</v>
      </c>
      <c r="B6664" t="s">
        <v>32</v>
      </c>
      <c r="C6664" s="1" t="str">
        <f>HYPERLINK("http://продеталь.рф/search.html?article=33700051","33700051")</f>
        <v>33700051</v>
      </c>
      <c r="D6664" t="s">
        <v>4</v>
      </c>
    </row>
    <row r="6665" spans="1:4" outlineLevel="1" x14ac:dyDescent="0.25">
      <c r="A6665" t="s">
        <v>752</v>
      </c>
      <c r="B6665" t="s">
        <v>41</v>
      </c>
      <c r="C6665" s="1" t="str">
        <f>HYPERLINK("http://продеталь.рф/search.html?article=SVW1112L","SVW1112L")</f>
        <v>SVW1112L</v>
      </c>
      <c r="D6665" t="s">
        <v>4</v>
      </c>
    </row>
    <row r="6666" spans="1:4" outlineLevel="1" x14ac:dyDescent="0.25">
      <c r="A6666" t="s">
        <v>752</v>
      </c>
      <c r="B6666" t="s">
        <v>41</v>
      </c>
      <c r="C6666" s="1" t="str">
        <f>HYPERLINK("http://продеталь.рф/search.html?article=SVW1112R","SVW1112R")</f>
        <v>SVW1112R</v>
      </c>
      <c r="D6666" t="s">
        <v>4</v>
      </c>
    </row>
    <row r="6667" spans="1:4" outlineLevel="1" x14ac:dyDescent="0.25">
      <c r="A6667" t="s">
        <v>752</v>
      </c>
      <c r="B6667" t="s">
        <v>41</v>
      </c>
      <c r="C6667" s="1" t="str">
        <f>HYPERLINK("http://продеталь.рф/search.html?article=SVW1111CR","SVW1111CR")</f>
        <v>SVW1111CR</v>
      </c>
      <c r="D6667" t="s">
        <v>63</v>
      </c>
    </row>
    <row r="6668" spans="1:4" outlineLevel="1" x14ac:dyDescent="0.25">
      <c r="A6668" t="s">
        <v>752</v>
      </c>
      <c r="B6668" t="s">
        <v>64</v>
      </c>
      <c r="C6668" s="1" t="str">
        <f>HYPERLINK("http://продеталь.рф/search.html?article=121603052","121603052")</f>
        <v>121603052</v>
      </c>
      <c r="D6668" t="s">
        <v>4</v>
      </c>
    </row>
    <row r="6669" spans="1:4" outlineLevel="1" x14ac:dyDescent="0.25">
      <c r="A6669" t="s">
        <v>752</v>
      </c>
      <c r="B6669" t="s">
        <v>64</v>
      </c>
      <c r="C6669" s="1" t="str">
        <f>HYPERLINK("http://продеталь.рф/search.html?article=121604052","121604052")</f>
        <v>121604052</v>
      </c>
      <c r="D6669" t="s">
        <v>4</v>
      </c>
    </row>
    <row r="6670" spans="1:4" outlineLevel="1" x14ac:dyDescent="0.25">
      <c r="A6670" t="s">
        <v>752</v>
      </c>
      <c r="B6670" t="s">
        <v>64</v>
      </c>
      <c r="C6670" s="1" t="str">
        <f>HYPERLINK("http://продеталь.рф/search.html?article=ZVW1606CR","ZVW1606CR")</f>
        <v>ZVW1606CR</v>
      </c>
      <c r="D6670" t="s">
        <v>6</v>
      </c>
    </row>
    <row r="6671" spans="1:4" outlineLevel="1" x14ac:dyDescent="0.25">
      <c r="A6671" t="s">
        <v>752</v>
      </c>
      <c r="B6671" t="s">
        <v>75</v>
      </c>
      <c r="C6671" s="1" t="str">
        <f>HYPERLINK("http://продеталь.рф/search.html?article=183585012","183585012")</f>
        <v>183585012</v>
      </c>
      <c r="D6671" t="s">
        <v>4</v>
      </c>
    </row>
    <row r="6672" spans="1:4" outlineLevel="1" x14ac:dyDescent="0.25">
      <c r="A6672" t="s">
        <v>752</v>
      </c>
      <c r="B6672" t="s">
        <v>75</v>
      </c>
      <c r="C6672" s="1" t="str">
        <f>HYPERLINK("http://продеталь.рф/search.html?article=183589052","183589052")</f>
        <v>183589052</v>
      </c>
      <c r="D6672" t="s">
        <v>4</v>
      </c>
    </row>
    <row r="6673" spans="1:4" outlineLevel="1" x14ac:dyDescent="0.25">
      <c r="A6673" t="s">
        <v>752</v>
      </c>
      <c r="B6673" t="s">
        <v>75</v>
      </c>
      <c r="C6673" s="1" t="str">
        <f>HYPERLINK("http://продеталь.рф/search.html?article=183585252","183585252")</f>
        <v>183585252</v>
      </c>
      <c r="D6673" t="s">
        <v>4</v>
      </c>
    </row>
    <row r="6674" spans="1:4" outlineLevel="1" x14ac:dyDescent="0.25">
      <c r="A6674" t="s">
        <v>752</v>
      </c>
      <c r="B6674" t="s">
        <v>75</v>
      </c>
      <c r="C6674" s="1" t="str">
        <f>HYPERLINK("http://продеталь.рф/search.html?article=183589352","183589352")</f>
        <v>183589352</v>
      </c>
      <c r="D6674" t="s">
        <v>4</v>
      </c>
    </row>
    <row r="6675" spans="1:4" outlineLevel="1" x14ac:dyDescent="0.25">
      <c r="A6675" t="s">
        <v>752</v>
      </c>
      <c r="B6675" t="s">
        <v>75</v>
      </c>
      <c r="C6675" s="1" t="str">
        <f>HYPERLINK("http://продеталь.рф/search.html?article=183585152","183585152")</f>
        <v>183585152</v>
      </c>
      <c r="D6675" t="s">
        <v>4</v>
      </c>
    </row>
    <row r="6676" spans="1:4" outlineLevel="1" x14ac:dyDescent="0.25">
      <c r="A6676" t="s">
        <v>752</v>
      </c>
      <c r="B6676" t="s">
        <v>753</v>
      </c>
      <c r="C6676" s="1" t="str">
        <f>HYPERLINK("http://продеталь.рф/search.html?article=9EL144426001","9EL144426001")</f>
        <v>9EL144426001</v>
      </c>
      <c r="D6676" t="s">
        <v>43</v>
      </c>
    </row>
    <row r="6677" spans="1:4" outlineLevel="1" x14ac:dyDescent="0.25">
      <c r="A6677" t="s">
        <v>752</v>
      </c>
      <c r="B6677" t="s">
        <v>13</v>
      </c>
      <c r="C6677" s="1" t="str">
        <f>HYPERLINK("http://продеталь.рф/search.html?article=VW24000R0","VW24000R0")</f>
        <v>VW24000R0</v>
      </c>
      <c r="D6677" t="s">
        <v>9</v>
      </c>
    </row>
    <row r="6678" spans="1:4" x14ac:dyDescent="0.25">
      <c r="A6678" t="s">
        <v>754</v>
      </c>
      <c r="B6678" s="2" t="s">
        <v>754</v>
      </c>
      <c r="C6678" s="2"/>
      <c r="D6678" s="2"/>
    </row>
    <row r="6679" spans="1:4" outlineLevel="1" x14ac:dyDescent="0.25">
      <c r="A6679" t="s">
        <v>754</v>
      </c>
      <c r="B6679" t="s">
        <v>11</v>
      </c>
      <c r="C6679" s="1" t="str">
        <f>HYPERLINK("http://продеталь.рф/search.html?article=25050","25050")</f>
        <v>25050</v>
      </c>
      <c r="D6679" t="s">
        <v>163</v>
      </c>
    </row>
    <row r="6680" spans="1:4" outlineLevel="1" x14ac:dyDescent="0.25">
      <c r="A6680" t="s">
        <v>754</v>
      </c>
      <c r="B6680" t="s">
        <v>15</v>
      </c>
      <c r="C6680" s="1" t="str">
        <f>HYPERLINK("http://продеталь.рф/search.html?article=3370016","3370016")</f>
        <v>3370016</v>
      </c>
      <c r="D6680" t="s">
        <v>4</v>
      </c>
    </row>
    <row r="6681" spans="1:4" outlineLevel="1" x14ac:dyDescent="0.25">
      <c r="A6681" t="s">
        <v>754</v>
      </c>
      <c r="B6681" t="s">
        <v>15</v>
      </c>
      <c r="C6681" s="1" t="str">
        <f>HYPERLINK("http://продеталь.рф/search.html?article=3370015","3370015")</f>
        <v>3370015</v>
      </c>
      <c r="D6681" t="s">
        <v>4</v>
      </c>
    </row>
    <row r="6682" spans="1:4" outlineLevel="1" x14ac:dyDescent="0.25">
      <c r="A6682" t="s">
        <v>754</v>
      </c>
      <c r="B6682" t="s">
        <v>15</v>
      </c>
      <c r="C6682" s="1" t="str">
        <f>HYPERLINK("http://продеталь.рф/search.html?article=3370014","3370014")</f>
        <v>3370014</v>
      </c>
      <c r="D6682" t="s">
        <v>4</v>
      </c>
    </row>
    <row r="6683" spans="1:4" outlineLevel="1" x14ac:dyDescent="0.25">
      <c r="A6683" t="s">
        <v>754</v>
      </c>
      <c r="B6683" t="s">
        <v>15</v>
      </c>
      <c r="C6683" s="1" t="str">
        <f>HYPERLINK("http://продеталь.рф/search.html?article=3370013","3370013")</f>
        <v>3370013</v>
      </c>
      <c r="D6683" t="s">
        <v>4</v>
      </c>
    </row>
    <row r="6684" spans="1:4" outlineLevel="1" x14ac:dyDescent="0.25">
      <c r="A6684" t="s">
        <v>754</v>
      </c>
      <c r="B6684" t="s">
        <v>23</v>
      </c>
      <c r="C6684" s="1" t="str">
        <f>HYPERLINK("http://продеталь.рф/search.html?article=110197012","110197012")</f>
        <v>110197012</v>
      </c>
      <c r="D6684" t="s">
        <v>4</v>
      </c>
    </row>
    <row r="6685" spans="1:4" outlineLevel="1" x14ac:dyDescent="0.25">
      <c r="A6685" t="s">
        <v>754</v>
      </c>
      <c r="B6685" t="s">
        <v>23</v>
      </c>
      <c r="C6685" s="1" t="str">
        <f>HYPERLINK("http://продеталь.рф/search.html?article=110198012","110198012")</f>
        <v>110198012</v>
      </c>
      <c r="D6685" t="s">
        <v>4</v>
      </c>
    </row>
    <row r="6686" spans="1:4" outlineLevel="1" x14ac:dyDescent="0.25">
      <c r="A6686" t="s">
        <v>754</v>
      </c>
      <c r="B6686" t="s">
        <v>23</v>
      </c>
      <c r="C6686" s="1" t="str">
        <f>HYPERLINK("http://продеталь.рф/search.html?article=VWW1250C00W","VWW1250C00W")</f>
        <v>VWW1250C00W</v>
      </c>
      <c r="D6686" t="s">
        <v>9</v>
      </c>
    </row>
    <row r="6687" spans="1:4" outlineLevel="1" x14ac:dyDescent="0.25">
      <c r="A6687" t="s">
        <v>754</v>
      </c>
      <c r="B6687" t="s">
        <v>23</v>
      </c>
      <c r="C6687" s="1" t="str">
        <f>HYPERLINK("http://продеталь.рф/search.html?article=ZVW1935KL","ZVW1935KL")</f>
        <v>ZVW1935KL</v>
      </c>
      <c r="D6687" t="s">
        <v>6</v>
      </c>
    </row>
    <row r="6688" spans="1:4" outlineLevel="1" x14ac:dyDescent="0.25">
      <c r="A6688" t="s">
        <v>754</v>
      </c>
      <c r="B6688" t="s">
        <v>23</v>
      </c>
      <c r="C6688" s="1" t="str">
        <f>HYPERLINK("http://продеталь.рф/search.html?article=ZVW1935KR","ZVW1935KR")</f>
        <v>ZVW1935KR</v>
      </c>
      <c r="D6688" t="s">
        <v>6</v>
      </c>
    </row>
    <row r="6689" spans="1:4" outlineLevel="1" x14ac:dyDescent="0.25">
      <c r="A6689" t="s">
        <v>754</v>
      </c>
      <c r="B6689" t="s">
        <v>23</v>
      </c>
      <c r="C6689" s="1" t="str">
        <f>HYPERLINK("http://продеталь.рф/search.html?article=110198112","110198112")</f>
        <v>110198112</v>
      </c>
      <c r="D6689" t="s">
        <v>4</v>
      </c>
    </row>
    <row r="6690" spans="1:4" outlineLevel="1" x14ac:dyDescent="0.25">
      <c r="A6690" t="s">
        <v>754</v>
      </c>
      <c r="B6690" t="s">
        <v>755</v>
      </c>
      <c r="C6690" s="1" t="str">
        <f>HYPERLINK("http://продеталь.рф/search.html?article=9EL148179121","9EL148179121")</f>
        <v>9EL148179121</v>
      </c>
      <c r="D6690" t="s">
        <v>43</v>
      </c>
    </row>
    <row r="6691" spans="1:4" outlineLevel="1" x14ac:dyDescent="0.25">
      <c r="A6691" t="s">
        <v>754</v>
      </c>
      <c r="B6691" t="s">
        <v>35</v>
      </c>
      <c r="C6691" s="1" t="str">
        <f>HYPERLINK("http://продеталь.рф/search.html?article=1323345Q","1323345Q")</f>
        <v>1323345Q</v>
      </c>
      <c r="D6691" t="s">
        <v>81</v>
      </c>
    </row>
    <row r="6692" spans="1:4" outlineLevel="1" x14ac:dyDescent="0.25">
      <c r="A6692" t="s">
        <v>754</v>
      </c>
      <c r="B6692" t="s">
        <v>35</v>
      </c>
      <c r="C6692" s="1" t="str">
        <f>HYPERLINK("http://продеталь.рф/search.html?article=310804","310804")</f>
        <v>310804</v>
      </c>
      <c r="D6692" t="s">
        <v>21</v>
      </c>
    </row>
    <row r="6693" spans="1:4" outlineLevel="1" x14ac:dyDescent="0.25">
      <c r="A6693" t="s">
        <v>754</v>
      </c>
      <c r="B6693" t="s">
        <v>35</v>
      </c>
      <c r="C6693" s="1" t="str">
        <f>HYPERLINK("http://продеталь.рф/search.html?article=310805","310805")</f>
        <v>310805</v>
      </c>
      <c r="D6693" t="s">
        <v>21</v>
      </c>
    </row>
    <row r="6694" spans="1:4" outlineLevel="1" x14ac:dyDescent="0.25">
      <c r="A6694" t="s">
        <v>754</v>
      </c>
      <c r="B6694" t="s">
        <v>1</v>
      </c>
      <c r="C6694" s="1" t="str">
        <f>HYPERLINK("http://продеталь.рф/search.html?article=PVW20021A","PVW20021A")</f>
        <v>PVW20021A</v>
      </c>
      <c r="D6694" t="s">
        <v>6</v>
      </c>
    </row>
    <row r="6695" spans="1:4" outlineLevel="1" x14ac:dyDescent="0.25">
      <c r="A6695" t="s">
        <v>754</v>
      </c>
      <c r="B6695" t="s">
        <v>84</v>
      </c>
      <c r="C6695" s="1" t="str">
        <f>HYPERLINK("http://продеталь.рф/search.html?article=VW04060EL","VW04060EL")</f>
        <v>VW04060EL</v>
      </c>
      <c r="D6695" t="s">
        <v>2</v>
      </c>
    </row>
    <row r="6696" spans="1:4" outlineLevel="1" x14ac:dyDescent="0.25">
      <c r="A6696" t="s">
        <v>754</v>
      </c>
      <c r="B6696" t="s">
        <v>84</v>
      </c>
      <c r="C6696" s="1" t="str">
        <f>HYPERLINK("http://продеталь.рф/search.html?article=VW04060ER","VW04060ER")</f>
        <v>VW04060ER</v>
      </c>
      <c r="D6696" t="s">
        <v>2</v>
      </c>
    </row>
    <row r="6697" spans="1:4" outlineLevel="1" x14ac:dyDescent="0.25">
      <c r="A6697" t="s">
        <v>754</v>
      </c>
      <c r="B6697" t="s">
        <v>24</v>
      </c>
      <c r="C6697" s="1" t="str">
        <f>HYPERLINK("http://продеталь.рф/search.html?article=PVW10024AL","PVW10024AL")</f>
        <v>PVW10024AL</v>
      </c>
      <c r="D6697" t="s">
        <v>6</v>
      </c>
    </row>
    <row r="6698" spans="1:4" outlineLevel="1" x14ac:dyDescent="0.25">
      <c r="A6698" t="s">
        <v>754</v>
      </c>
      <c r="B6698" t="s">
        <v>37</v>
      </c>
      <c r="C6698" s="1" t="str">
        <f>HYPERLINK("http://продеталь.рф/search.html?article=907211","907211")</f>
        <v>907211</v>
      </c>
      <c r="D6698" t="s">
        <v>58</v>
      </c>
    </row>
    <row r="6699" spans="1:4" outlineLevel="1" x14ac:dyDescent="0.25">
      <c r="A6699" t="s">
        <v>754</v>
      </c>
      <c r="B6699" t="s">
        <v>38</v>
      </c>
      <c r="C6699" s="1" t="str">
        <f>HYPERLINK("http://продеталь.рф/search.html?article=0907218","0907218")</f>
        <v>0907218</v>
      </c>
      <c r="D6699" t="s">
        <v>58</v>
      </c>
    </row>
    <row r="6700" spans="1:4" outlineLevel="1" x14ac:dyDescent="0.25">
      <c r="A6700" t="s">
        <v>754</v>
      </c>
      <c r="B6700" t="s">
        <v>38</v>
      </c>
      <c r="C6700" s="1" t="str">
        <f>HYPERLINK("http://продеталь.рф/search.html?article=0907219","0907219")</f>
        <v>0907219</v>
      </c>
      <c r="D6700" t="s">
        <v>58</v>
      </c>
    </row>
    <row r="6701" spans="1:4" outlineLevel="1" x14ac:dyDescent="0.25">
      <c r="A6701" t="s">
        <v>754</v>
      </c>
      <c r="B6701" t="s">
        <v>26</v>
      </c>
      <c r="C6701" s="1" t="str">
        <f>HYPERLINK("http://продеталь.рф/search.html?article=35050","35050")</f>
        <v>35050</v>
      </c>
      <c r="D6701" t="s">
        <v>163</v>
      </c>
    </row>
    <row r="6702" spans="1:4" outlineLevel="1" x14ac:dyDescent="0.25">
      <c r="A6702" t="s">
        <v>754</v>
      </c>
      <c r="B6702" t="s">
        <v>3</v>
      </c>
      <c r="C6702" s="1" t="str">
        <f>HYPERLINK("http://продеталь.рф/search.html?article=205386182","205386182")</f>
        <v>205386182</v>
      </c>
      <c r="D6702" t="s">
        <v>4</v>
      </c>
    </row>
    <row r="6703" spans="1:4" outlineLevel="1" x14ac:dyDescent="0.25">
      <c r="A6703" t="s">
        <v>754</v>
      </c>
      <c r="B6703" t="s">
        <v>3</v>
      </c>
      <c r="C6703" s="1" t="str">
        <f>HYPERLINK("http://продеталь.рф/search.html?article=205385182","205385182")</f>
        <v>205385182</v>
      </c>
      <c r="D6703" t="s">
        <v>4</v>
      </c>
    </row>
    <row r="6704" spans="1:4" outlineLevel="1" x14ac:dyDescent="0.25">
      <c r="A6704" t="s">
        <v>754</v>
      </c>
      <c r="B6704" t="s">
        <v>3</v>
      </c>
      <c r="C6704" s="1" t="str">
        <f>HYPERLINK("http://продеталь.рф/search.html?article=205386382","205386382")</f>
        <v>205386382</v>
      </c>
      <c r="D6704" t="s">
        <v>4</v>
      </c>
    </row>
    <row r="6705" spans="1:4" outlineLevel="1" x14ac:dyDescent="0.25">
      <c r="A6705" t="s">
        <v>754</v>
      </c>
      <c r="B6705" t="s">
        <v>3</v>
      </c>
      <c r="C6705" s="1" t="str">
        <f>HYPERLINK("http://продеталь.рф/search.html?article=205386082","205386082")</f>
        <v>205386082</v>
      </c>
      <c r="D6705" t="s">
        <v>4</v>
      </c>
    </row>
    <row r="6706" spans="1:4" outlineLevel="1" x14ac:dyDescent="0.25">
      <c r="A6706" t="s">
        <v>754</v>
      </c>
      <c r="B6706" t="s">
        <v>3</v>
      </c>
      <c r="C6706" s="1" t="str">
        <f>HYPERLINK("http://продеталь.рф/search.html?article=205385082","205385082")</f>
        <v>205385082</v>
      </c>
      <c r="D6706" t="s">
        <v>4</v>
      </c>
    </row>
    <row r="6707" spans="1:4" outlineLevel="1" x14ac:dyDescent="0.25">
      <c r="A6707" t="s">
        <v>754</v>
      </c>
      <c r="B6707" t="s">
        <v>139</v>
      </c>
      <c r="C6707" s="1" t="str">
        <f>HYPERLINK("http://продеталь.рф/search.html?article=02320199","02320199")</f>
        <v>02320199</v>
      </c>
      <c r="D6707" t="s">
        <v>47</v>
      </c>
    </row>
    <row r="6708" spans="1:4" outlineLevel="1" x14ac:dyDescent="0.25">
      <c r="A6708" t="s">
        <v>754</v>
      </c>
      <c r="B6708" t="s">
        <v>139</v>
      </c>
      <c r="C6708" s="1" t="str">
        <f>HYPERLINK("http://продеталь.рф/search.html?article=02320198","02320198")</f>
        <v>02320198</v>
      </c>
      <c r="D6708" t="s">
        <v>47</v>
      </c>
    </row>
    <row r="6709" spans="1:4" outlineLevel="1" x14ac:dyDescent="0.25">
      <c r="A6709" t="s">
        <v>754</v>
      </c>
      <c r="B6709" t="s">
        <v>242</v>
      </c>
      <c r="C6709" s="1" t="str">
        <f>HYPERLINK("http://продеталь.рф/search.html?article=VW2102N","VW2102N")</f>
        <v>VW2102N</v>
      </c>
      <c r="D6709" t="s">
        <v>6</v>
      </c>
    </row>
    <row r="6710" spans="1:4" outlineLevel="1" x14ac:dyDescent="0.25">
      <c r="A6710" t="s">
        <v>754</v>
      </c>
      <c r="B6710" t="s">
        <v>54</v>
      </c>
      <c r="C6710" s="1" t="str">
        <f>HYPERLINK("http://продеталь.рф/search.html?article=9523011","9523011")</f>
        <v>9523011</v>
      </c>
      <c r="D6710" t="s">
        <v>46</v>
      </c>
    </row>
    <row r="6711" spans="1:4" outlineLevel="1" x14ac:dyDescent="0.25">
      <c r="A6711" t="s">
        <v>754</v>
      </c>
      <c r="B6711" t="s">
        <v>54</v>
      </c>
      <c r="C6711" s="1" t="str">
        <f>HYPERLINK("http://продеталь.рф/search.html?article=9523012","9523012")</f>
        <v>9523012</v>
      </c>
      <c r="D6711" t="s">
        <v>46</v>
      </c>
    </row>
    <row r="6712" spans="1:4" outlineLevel="1" x14ac:dyDescent="0.25">
      <c r="A6712" t="s">
        <v>754</v>
      </c>
      <c r="B6712" t="s">
        <v>39</v>
      </c>
      <c r="C6712" s="1" t="str">
        <f>HYPERLINK("http://продеталь.рф/search.html?article=AFV104","AFV104")</f>
        <v>AFV104</v>
      </c>
      <c r="D6712" t="s">
        <v>6</v>
      </c>
    </row>
    <row r="6713" spans="1:4" outlineLevel="1" x14ac:dyDescent="0.25">
      <c r="A6713" t="s">
        <v>754</v>
      </c>
      <c r="B6713" t="s">
        <v>39</v>
      </c>
      <c r="C6713" s="1" t="str">
        <f>HYPERLINK("http://продеталь.рф/search.html?article=AFV107","AFV107")</f>
        <v>AFV107</v>
      </c>
      <c r="D6713" t="s">
        <v>6</v>
      </c>
    </row>
    <row r="6714" spans="1:4" outlineLevel="1" x14ac:dyDescent="0.25">
      <c r="A6714" t="s">
        <v>754</v>
      </c>
      <c r="B6714" t="s">
        <v>40</v>
      </c>
      <c r="C6714" s="1" t="str">
        <f>HYPERLINK("http://продеталь.рф/search.html?article=242510","242510")</f>
        <v>242510</v>
      </c>
      <c r="D6714" t="s">
        <v>61</v>
      </c>
    </row>
    <row r="6715" spans="1:4" outlineLevel="1" x14ac:dyDescent="0.25">
      <c r="A6715" t="s">
        <v>754</v>
      </c>
      <c r="B6715" t="s">
        <v>40</v>
      </c>
      <c r="C6715" s="1" t="str">
        <f>HYPERLINK("http://продеталь.рф/search.html?article=242509","242509")</f>
        <v>242509</v>
      </c>
      <c r="D6715" t="s">
        <v>61</v>
      </c>
    </row>
    <row r="6716" spans="1:4" outlineLevel="1" x14ac:dyDescent="0.25">
      <c r="A6716" t="s">
        <v>754</v>
      </c>
      <c r="B6716" t="s">
        <v>12</v>
      </c>
      <c r="C6716" s="1" t="str">
        <f>HYPERLINK("http://продеталь.рф/search.html?article=PVW07029GA","PVW07029GA")</f>
        <v>PVW07029GA</v>
      </c>
      <c r="D6716" t="s">
        <v>6</v>
      </c>
    </row>
    <row r="6717" spans="1:4" outlineLevel="1" x14ac:dyDescent="0.25">
      <c r="A6717" t="s">
        <v>754</v>
      </c>
      <c r="B6717" t="s">
        <v>12</v>
      </c>
      <c r="C6717" s="1" t="str">
        <f>HYPERLINK("http://продеталь.рф/search.html?article=015051","015051")</f>
        <v>015051</v>
      </c>
      <c r="D6717" t="s">
        <v>163</v>
      </c>
    </row>
    <row r="6718" spans="1:4" outlineLevel="1" x14ac:dyDescent="0.25">
      <c r="A6718" t="s">
        <v>754</v>
      </c>
      <c r="B6718" t="s">
        <v>71</v>
      </c>
      <c r="C6718" s="1" t="str">
        <f>HYPERLINK("http://продеталь.рф/search.html?article=242970","242970")</f>
        <v>242970</v>
      </c>
      <c r="D6718" t="s">
        <v>61</v>
      </c>
    </row>
    <row r="6719" spans="1:4" outlineLevel="1" x14ac:dyDescent="0.25">
      <c r="A6719" t="s">
        <v>754</v>
      </c>
      <c r="B6719" t="s">
        <v>32</v>
      </c>
      <c r="C6719" s="1" t="str">
        <f>HYPERLINK("http://продеталь.рф/search.html?article=SVWM1008CL","SVWM1008CL")</f>
        <v>SVWM1008CL</v>
      </c>
      <c r="D6719" t="s">
        <v>6</v>
      </c>
    </row>
    <row r="6720" spans="1:4" outlineLevel="1" x14ac:dyDescent="0.25">
      <c r="A6720" t="s">
        <v>754</v>
      </c>
      <c r="B6720" t="s">
        <v>32</v>
      </c>
      <c r="C6720" s="1" t="str">
        <f>HYPERLINK("http://продеталь.рф/search.html?article=SVWM1008CR","SVWM1008CR")</f>
        <v>SVWM1008CR</v>
      </c>
      <c r="D6720" t="s">
        <v>6</v>
      </c>
    </row>
    <row r="6721" spans="1:4" outlineLevel="1" x14ac:dyDescent="0.25">
      <c r="A6721" t="s">
        <v>754</v>
      </c>
      <c r="B6721" t="s">
        <v>361</v>
      </c>
      <c r="C6721" s="1" t="str">
        <f>HYPERLINK("http://продеталь.рф/search.html?article=9523980","9523980")</f>
        <v>9523980</v>
      </c>
      <c r="D6721" t="s">
        <v>46</v>
      </c>
    </row>
    <row r="6722" spans="1:4" outlineLevel="1" x14ac:dyDescent="0.25">
      <c r="A6722" t="s">
        <v>754</v>
      </c>
      <c r="B6722" t="s">
        <v>13</v>
      </c>
      <c r="C6722" s="1" t="str">
        <f>HYPERLINK("http://продеталь.рф/search.html?article=VW44025A","VW44025A")</f>
        <v>VW44025A</v>
      </c>
      <c r="D6722" t="s">
        <v>2</v>
      </c>
    </row>
    <row r="6723" spans="1:4" outlineLevel="1" x14ac:dyDescent="0.25">
      <c r="A6723" t="s">
        <v>754</v>
      </c>
      <c r="B6723" t="s">
        <v>756</v>
      </c>
      <c r="C6723" s="1" t="str">
        <f>HYPERLINK("http://продеталь.рф/search.html?article=9EL008980801","9EL008980801")</f>
        <v>9EL008980801</v>
      </c>
      <c r="D6723" t="s">
        <v>43</v>
      </c>
    </row>
    <row r="6724" spans="1:4" x14ac:dyDescent="0.25">
      <c r="A6724" t="s">
        <v>757</v>
      </c>
      <c r="B6724" s="2" t="s">
        <v>757</v>
      </c>
      <c r="C6724" s="2"/>
      <c r="D6724" s="2"/>
    </row>
    <row r="6725" spans="1:4" outlineLevel="1" x14ac:dyDescent="0.25">
      <c r="A6725" t="s">
        <v>757</v>
      </c>
      <c r="B6725" t="s">
        <v>11</v>
      </c>
      <c r="C6725" s="1" t="str">
        <f>HYPERLINK("http://продеталь.рф/search.html?article=VW04067BA","VW04067BA")</f>
        <v>VW04067BA</v>
      </c>
      <c r="D6725" t="s">
        <v>2</v>
      </c>
    </row>
    <row r="6726" spans="1:4" outlineLevel="1" x14ac:dyDescent="0.25">
      <c r="A6726" t="s">
        <v>757</v>
      </c>
      <c r="B6726" t="s">
        <v>15</v>
      </c>
      <c r="C6726" s="1" t="str">
        <f>HYPERLINK("http://продеталь.рф/search.html?article=3370093","3370093")</f>
        <v>3370093</v>
      </c>
      <c r="D6726" t="s">
        <v>4</v>
      </c>
    </row>
    <row r="6727" spans="1:4" outlineLevel="1" x14ac:dyDescent="0.25">
      <c r="A6727" t="s">
        <v>757</v>
      </c>
      <c r="B6727" t="s">
        <v>35</v>
      </c>
      <c r="C6727" s="1" t="str">
        <f>HYPERLINK("http://продеталь.рф/search.html?article=9513346","9513346")</f>
        <v>9513346</v>
      </c>
      <c r="D6727" t="s">
        <v>81</v>
      </c>
    </row>
    <row r="6728" spans="1:4" outlineLevel="1" x14ac:dyDescent="0.25">
      <c r="A6728" t="s">
        <v>757</v>
      </c>
      <c r="B6728" t="s">
        <v>84</v>
      </c>
      <c r="C6728" s="1" t="str">
        <f>HYPERLINK("http://продеталь.рф/search.html?article=PVW43044BR","PVW43044BR")</f>
        <v>PVW43044BR</v>
      </c>
      <c r="D6728" t="s">
        <v>6</v>
      </c>
    </row>
    <row r="6729" spans="1:4" outlineLevel="1" x14ac:dyDescent="0.25">
      <c r="A6729" t="s">
        <v>757</v>
      </c>
      <c r="B6729" t="s">
        <v>84</v>
      </c>
      <c r="C6729" s="1" t="str">
        <f>HYPERLINK("http://продеталь.рф/search.html?article=PVW43044AL","PVW43044AL")</f>
        <v>PVW43044AL</v>
      </c>
      <c r="D6729" t="s">
        <v>6</v>
      </c>
    </row>
    <row r="6730" spans="1:4" outlineLevel="1" x14ac:dyDescent="0.25">
      <c r="A6730" t="s">
        <v>757</v>
      </c>
      <c r="B6730" t="s">
        <v>26</v>
      </c>
      <c r="C6730" s="1" t="str">
        <f>HYPERLINK("http://продеталь.рф/search.html?article=0908715","0908715")</f>
        <v>0908715</v>
      </c>
      <c r="D6730" t="s">
        <v>58</v>
      </c>
    </row>
    <row r="6731" spans="1:4" outlineLevel="1" x14ac:dyDescent="0.25">
      <c r="A6731" t="s">
        <v>757</v>
      </c>
      <c r="B6731" t="s">
        <v>26</v>
      </c>
      <c r="C6731" s="1" t="str">
        <f>HYPERLINK("http://продеталь.рф/search.html?article=0908714","0908714")</f>
        <v>0908714</v>
      </c>
      <c r="D6731" t="s">
        <v>58</v>
      </c>
    </row>
    <row r="6732" spans="1:4" outlineLevel="1" x14ac:dyDescent="0.25">
      <c r="A6732" t="s">
        <v>757</v>
      </c>
      <c r="B6732" t="s">
        <v>3</v>
      </c>
      <c r="C6732" s="1" t="str">
        <f>HYPERLINK("http://продеталь.рф/search.html?article=200317052","200317052")</f>
        <v>200317052</v>
      </c>
      <c r="D6732" t="s">
        <v>4</v>
      </c>
    </row>
    <row r="6733" spans="1:4" outlineLevel="1" x14ac:dyDescent="0.25">
      <c r="A6733" t="s">
        <v>757</v>
      </c>
      <c r="B6733" t="s">
        <v>3</v>
      </c>
      <c r="C6733" s="1" t="str">
        <f>HYPERLINK("http://продеталь.рф/search.html?article=200317352","200317352")</f>
        <v>200317352</v>
      </c>
      <c r="D6733" t="s">
        <v>4</v>
      </c>
    </row>
    <row r="6734" spans="1:4" outlineLevel="1" x14ac:dyDescent="0.25">
      <c r="A6734" t="s">
        <v>757</v>
      </c>
      <c r="B6734" t="s">
        <v>3</v>
      </c>
      <c r="C6734" s="1" t="str">
        <f>HYPERLINK("http://продеталь.рф/search.html?article=200318352","200318352")</f>
        <v>200318352</v>
      </c>
      <c r="D6734" t="s">
        <v>4</v>
      </c>
    </row>
    <row r="6735" spans="1:4" outlineLevel="1" x14ac:dyDescent="0.25">
      <c r="A6735" t="s">
        <v>757</v>
      </c>
      <c r="B6735" t="s">
        <v>3</v>
      </c>
      <c r="C6735" s="1" t="str">
        <f>HYPERLINK("http://продеталь.рф/search.html?article=20A318B52B","20A318B52B")</f>
        <v>20A318B52B</v>
      </c>
      <c r="D6735" t="s">
        <v>4</v>
      </c>
    </row>
    <row r="6736" spans="1:4" outlineLevel="1" x14ac:dyDescent="0.25">
      <c r="A6736" t="s">
        <v>757</v>
      </c>
      <c r="B6736" t="s">
        <v>3</v>
      </c>
      <c r="C6736" s="1" t="str">
        <f>HYPERLINK("http://продеталь.рф/search.html?article=20A317B52B","20A317B52B")</f>
        <v>20A317B52B</v>
      </c>
      <c r="D6736" t="s">
        <v>4</v>
      </c>
    </row>
    <row r="6737" spans="1:4" outlineLevel="1" x14ac:dyDescent="0.25">
      <c r="A6737" t="s">
        <v>757</v>
      </c>
      <c r="B6737" t="s">
        <v>5</v>
      </c>
      <c r="C6737" s="1" t="str">
        <f>HYPERLINK("http://продеталь.рф/search.html?article=VWW2016L1","VWW2016L1")</f>
        <v>VWW2016L1</v>
      </c>
      <c r="D6737" t="s">
        <v>9</v>
      </c>
    </row>
    <row r="6738" spans="1:4" outlineLevel="1" x14ac:dyDescent="0.25">
      <c r="A6738" t="s">
        <v>757</v>
      </c>
      <c r="B6738" t="s">
        <v>19</v>
      </c>
      <c r="C6738" s="1" t="str">
        <f>HYPERLINK("http://продеталь.рф/search.html?article=190209052","190209052")</f>
        <v>190209052</v>
      </c>
      <c r="D6738" t="s">
        <v>4</v>
      </c>
    </row>
    <row r="6739" spans="1:4" outlineLevel="1" x14ac:dyDescent="0.25">
      <c r="A6739" t="s">
        <v>757</v>
      </c>
      <c r="B6739" t="s">
        <v>19</v>
      </c>
      <c r="C6739" s="1" t="str">
        <f>HYPERLINK("http://продеталь.рф/search.html?article=19A705012B","19A705012B")</f>
        <v>19A705012B</v>
      </c>
      <c r="D6739" t="s">
        <v>4</v>
      </c>
    </row>
    <row r="6740" spans="1:4" outlineLevel="1" x14ac:dyDescent="0.25">
      <c r="A6740" t="s">
        <v>757</v>
      </c>
      <c r="B6740" t="s">
        <v>19</v>
      </c>
      <c r="C6740" s="1" t="str">
        <f>HYPERLINK("http://продеталь.рф/search.html?article=19A706012B","19A706012B")</f>
        <v>19A706012B</v>
      </c>
      <c r="D6740" t="s">
        <v>4</v>
      </c>
    </row>
    <row r="6741" spans="1:4" outlineLevel="1" x14ac:dyDescent="0.25">
      <c r="A6741" t="s">
        <v>757</v>
      </c>
      <c r="B6741" t="s">
        <v>30</v>
      </c>
      <c r="C6741" s="1" t="str">
        <f>HYPERLINK("http://продеталь.рф/search.html?article=VW99029CAL","VW99029CAL")</f>
        <v>VW99029CAL</v>
      </c>
      <c r="D6741" t="s">
        <v>2</v>
      </c>
    </row>
    <row r="6742" spans="1:4" outlineLevel="1" x14ac:dyDescent="0.25">
      <c r="A6742" t="s">
        <v>757</v>
      </c>
      <c r="B6742" t="s">
        <v>30</v>
      </c>
      <c r="C6742" s="1" t="str">
        <f>HYPERLINK("http://продеталь.рф/search.html?article=VW99029CAR","VW99029CAR")</f>
        <v>VW99029CAR</v>
      </c>
      <c r="D6742" t="s">
        <v>2</v>
      </c>
    </row>
    <row r="6743" spans="1:4" outlineLevel="1" x14ac:dyDescent="0.25">
      <c r="A6743" t="s">
        <v>757</v>
      </c>
      <c r="B6743" t="s">
        <v>40</v>
      </c>
      <c r="C6743" s="1" t="str">
        <f>HYPERLINK("http://продеталь.рф/search.html?article=VWW2000G2","VWW2000G2")</f>
        <v>VWW2000G2</v>
      </c>
      <c r="D6743" t="s">
        <v>9</v>
      </c>
    </row>
    <row r="6744" spans="1:4" outlineLevel="1" x14ac:dyDescent="0.25">
      <c r="A6744" t="s">
        <v>757</v>
      </c>
      <c r="B6744" t="s">
        <v>40</v>
      </c>
      <c r="C6744" s="1" t="str">
        <f>HYPERLINK("http://продеталь.рф/search.html?article=VWW2000G1","VWW2000G1")</f>
        <v>VWW2000G1</v>
      </c>
      <c r="D6744" t="s">
        <v>9</v>
      </c>
    </row>
    <row r="6745" spans="1:4" outlineLevel="1" x14ac:dyDescent="0.25">
      <c r="A6745" t="s">
        <v>757</v>
      </c>
      <c r="B6745" t="s">
        <v>40</v>
      </c>
      <c r="C6745" s="1" t="str">
        <f>HYPERLINK("http://продеталь.рф/search.html?article=GD3085S","GD3085S")</f>
        <v>GD3085S</v>
      </c>
      <c r="D6745" t="s">
        <v>2</v>
      </c>
    </row>
    <row r="6746" spans="1:4" outlineLevel="1" x14ac:dyDescent="0.25">
      <c r="A6746" t="s">
        <v>757</v>
      </c>
      <c r="B6746" t="s">
        <v>40</v>
      </c>
      <c r="C6746" s="1" t="str">
        <f>HYPERLINK("http://продеталь.рф/search.html?article=PVW99014GB","PVW99014GB")</f>
        <v>PVW99014GB</v>
      </c>
      <c r="D6746" t="s">
        <v>6</v>
      </c>
    </row>
    <row r="6747" spans="1:4" outlineLevel="1" x14ac:dyDescent="0.25">
      <c r="A6747" t="s">
        <v>757</v>
      </c>
      <c r="B6747" t="s">
        <v>40</v>
      </c>
      <c r="C6747" s="1" t="str">
        <f>HYPERLINK("http://продеталь.рф/search.html?article=PVW99014GBR","PVW99014GBR")</f>
        <v>PVW99014GBR</v>
      </c>
      <c r="D6747" t="s">
        <v>6</v>
      </c>
    </row>
    <row r="6748" spans="1:4" outlineLevel="1" x14ac:dyDescent="0.25">
      <c r="A6748" t="s">
        <v>757</v>
      </c>
      <c r="B6748" t="s">
        <v>12</v>
      </c>
      <c r="C6748" s="1" t="str">
        <f>HYPERLINK("http://продеталь.рф/search.html?article=VW07061GB","VW07061GB")</f>
        <v>VW07061GB</v>
      </c>
      <c r="D6748" t="s">
        <v>2</v>
      </c>
    </row>
    <row r="6749" spans="1:4" outlineLevel="1" x14ac:dyDescent="0.25">
      <c r="A6749" t="s">
        <v>757</v>
      </c>
      <c r="B6749" t="s">
        <v>12</v>
      </c>
      <c r="C6749" s="1" t="str">
        <f>HYPERLINK("http://продеталь.рф/search.html?article=015081","015081")</f>
        <v>015081</v>
      </c>
      <c r="D6749" t="s">
        <v>163</v>
      </c>
    </row>
    <row r="6750" spans="1:4" outlineLevel="1" x14ac:dyDescent="0.25">
      <c r="A6750" t="s">
        <v>757</v>
      </c>
      <c r="B6750" t="s">
        <v>71</v>
      </c>
      <c r="C6750" s="1" t="str">
        <f>HYPERLINK("http://продеталь.рф/search.html?article=VWW20130","VWW20130")</f>
        <v>VWW20130</v>
      </c>
      <c r="D6750" t="s">
        <v>9</v>
      </c>
    </row>
    <row r="6751" spans="1:4" x14ac:dyDescent="0.25">
      <c r="A6751" t="s">
        <v>758</v>
      </c>
      <c r="B6751" s="2" t="s">
        <v>758</v>
      </c>
      <c r="C6751" s="2"/>
      <c r="D6751" s="2"/>
    </row>
    <row r="6752" spans="1:4" outlineLevel="1" x14ac:dyDescent="0.25">
      <c r="A6752" t="s">
        <v>758</v>
      </c>
      <c r="B6752" t="s">
        <v>11</v>
      </c>
      <c r="C6752" s="1" t="str">
        <f>HYPERLINK("http://продеталь.рф/search.html?article=VW04101BA","VW04101BA")</f>
        <v>VW04101BA</v>
      </c>
      <c r="D6752" t="s">
        <v>2</v>
      </c>
    </row>
    <row r="6753" spans="1:4" outlineLevel="1" x14ac:dyDescent="0.25">
      <c r="A6753" t="s">
        <v>758</v>
      </c>
      <c r="B6753" t="s">
        <v>1</v>
      </c>
      <c r="C6753" s="1" t="str">
        <f>HYPERLINK("http://продеталь.рф/search.html?article=VW20036A","VW20036A")</f>
        <v>VW20036A</v>
      </c>
      <c r="D6753" t="s">
        <v>99</v>
      </c>
    </row>
    <row r="6754" spans="1:4" outlineLevel="1" x14ac:dyDescent="0.25">
      <c r="A6754" t="s">
        <v>758</v>
      </c>
      <c r="B6754" t="s">
        <v>24</v>
      </c>
      <c r="C6754" s="1" t="str">
        <f>HYPERLINK("http://продеталь.рф/search.html?article=VW10050AL","VW10050AL")</f>
        <v>VW10050AL</v>
      </c>
      <c r="D6754" t="s">
        <v>2</v>
      </c>
    </row>
    <row r="6755" spans="1:4" outlineLevel="1" x14ac:dyDescent="0.25">
      <c r="A6755" t="s">
        <v>758</v>
      </c>
      <c r="B6755" t="s">
        <v>103</v>
      </c>
      <c r="C6755" s="1" t="str">
        <f>HYPERLINK("http://продеталь.рф/search.html?article=VW99035CAL","VW99035CAL")</f>
        <v>VW99035CAL</v>
      </c>
      <c r="D6755" t="s">
        <v>2</v>
      </c>
    </row>
    <row r="6756" spans="1:4" outlineLevel="1" x14ac:dyDescent="0.25">
      <c r="A6756" t="s">
        <v>758</v>
      </c>
      <c r="B6756" t="s">
        <v>26</v>
      </c>
      <c r="C6756" s="1" t="str">
        <f>HYPERLINK("http://продеталь.рф/search.html?article=VW04101MAR","VW04101MAR")</f>
        <v>VW04101MAR</v>
      </c>
      <c r="D6756" t="s">
        <v>2</v>
      </c>
    </row>
    <row r="6757" spans="1:4" outlineLevel="1" x14ac:dyDescent="0.25">
      <c r="A6757" t="s">
        <v>758</v>
      </c>
      <c r="B6757" t="s">
        <v>3</v>
      </c>
      <c r="C6757" s="1" t="str">
        <f>HYPERLINK("http://продеталь.рф/search.html?article=20A845052B","20A845052B")</f>
        <v>20A845052B</v>
      </c>
      <c r="D6757" t="s">
        <v>4</v>
      </c>
    </row>
    <row r="6758" spans="1:4" outlineLevel="1" x14ac:dyDescent="0.25">
      <c r="A6758" t="s">
        <v>758</v>
      </c>
      <c r="B6758" t="s">
        <v>19</v>
      </c>
      <c r="C6758" s="1" t="str">
        <f>HYPERLINK("http://продеталь.рф/search.html?article=190444012","190444012")</f>
        <v>190444012</v>
      </c>
      <c r="D6758" t="s">
        <v>4</v>
      </c>
    </row>
    <row r="6759" spans="1:4" outlineLevel="1" x14ac:dyDescent="0.25">
      <c r="A6759" t="s">
        <v>758</v>
      </c>
      <c r="B6759" t="s">
        <v>30</v>
      </c>
      <c r="C6759" s="1" t="str">
        <f>HYPERLINK("http://продеталь.рф/search.html?article=VW99030CAR","VW99030CAR")</f>
        <v>VW99030CAR</v>
      </c>
      <c r="D6759" t="s">
        <v>2</v>
      </c>
    </row>
    <row r="6760" spans="1:4" outlineLevel="1" x14ac:dyDescent="0.25">
      <c r="A6760" t="s">
        <v>758</v>
      </c>
      <c r="B6760" t="s">
        <v>40</v>
      </c>
      <c r="C6760" s="1" t="str">
        <f>HYPERLINK("http://продеталь.рф/search.html?article=VW07072GAN","VW07072GAN")</f>
        <v>VW07072GAN</v>
      </c>
      <c r="D6760" t="s">
        <v>2</v>
      </c>
    </row>
    <row r="6761" spans="1:4" outlineLevel="1" x14ac:dyDescent="0.25">
      <c r="A6761" t="s">
        <v>758</v>
      </c>
      <c r="B6761" t="s">
        <v>12</v>
      </c>
      <c r="C6761" s="1" t="str">
        <f>HYPERLINK("http://продеталь.рф/search.html?article=VW07070GB","VW07070GB")</f>
        <v>VW07070GB</v>
      </c>
      <c r="D6761" t="s">
        <v>2</v>
      </c>
    </row>
    <row r="6762" spans="1:4" x14ac:dyDescent="0.25">
      <c r="A6762" t="s">
        <v>759</v>
      </c>
      <c r="B6762" s="2" t="s">
        <v>759</v>
      </c>
      <c r="C6762" s="2"/>
      <c r="D6762" s="2"/>
    </row>
    <row r="6763" spans="1:4" outlineLevel="1" x14ac:dyDescent="0.25">
      <c r="A6763" t="s">
        <v>759</v>
      </c>
      <c r="B6763" t="s">
        <v>11</v>
      </c>
      <c r="C6763" s="1" t="str">
        <f>HYPERLINK("http://продеталь.рф/search.html?article=PVW04133BA","PVW04133BA")</f>
        <v>PVW04133BA</v>
      </c>
      <c r="D6763" t="s">
        <v>6</v>
      </c>
    </row>
    <row r="6764" spans="1:4" outlineLevel="1" x14ac:dyDescent="0.25">
      <c r="A6764" t="s">
        <v>759</v>
      </c>
      <c r="B6764" t="s">
        <v>101</v>
      </c>
      <c r="C6764" s="1" t="str">
        <f>HYPERLINK("http://продеталь.рф/search.html?article=PVW99052CA","PVW99052CA")</f>
        <v>PVW99052CA</v>
      </c>
      <c r="D6764" t="s">
        <v>6</v>
      </c>
    </row>
    <row r="6765" spans="1:4" outlineLevel="1" x14ac:dyDescent="0.25">
      <c r="A6765" t="s">
        <v>759</v>
      </c>
      <c r="B6765" t="s">
        <v>23</v>
      </c>
      <c r="C6765" s="1" t="str">
        <f>HYPERLINK("http://продеталь.рф/search.html?article=11B434012B","11B434012B")</f>
        <v>11B434012B</v>
      </c>
      <c r="D6765" t="s">
        <v>4</v>
      </c>
    </row>
    <row r="6766" spans="1:4" outlineLevel="1" x14ac:dyDescent="0.25">
      <c r="A6766" t="s">
        <v>759</v>
      </c>
      <c r="B6766" t="s">
        <v>86</v>
      </c>
      <c r="C6766" s="1" t="str">
        <f>HYPERLINK("http://продеталь.рф/search.html?article=PVW43069BL","PVW43069BL")</f>
        <v>PVW43069BL</v>
      </c>
      <c r="D6766" t="s">
        <v>6</v>
      </c>
    </row>
    <row r="6767" spans="1:4" outlineLevel="1" x14ac:dyDescent="0.25">
      <c r="A6767" t="s">
        <v>759</v>
      </c>
      <c r="B6767" t="s">
        <v>86</v>
      </c>
      <c r="C6767" s="1" t="str">
        <f>HYPERLINK("http://продеталь.рф/search.html?article=PVW05019VA","PVW05019VA")</f>
        <v>PVW05019VA</v>
      </c>
      <c r="D6767" t="s">
        <v>6</v>
      </c>
    </row>
    <row r="6768" spans="1:4" outlineLevel="1" x14ac:dyDescent="0.25">
      <c r="A6768" t="s">
        <v>759</v>
      </c>
      <c r="B6768" t="s">
        <v>84</v>
      </c>
      <c r="C6768" s="1" t="str">
        <f>HYPERLINK("http://продеталь.рф/search.html?article=PVW43069CL","PVW43069CL")</f>
        <v>PVW43069CL</v>
      </c>
      <c r="D6768" t="s">
        <v>6</v>
      </c>
    </row>
    <row r="6769" spans="1:4" outlineLevel="1" x14ac:dyDescent="0.25">
      <c r="A6769" t="s">
        <v>759</v>
      </c>
      <c r="B6769" t="s">
        <v>84</v>
      </c>
      <c r="C6769" s="1" t="str">
        <f>HYPERLINK("http://продеталь.рф/search.html?article=PVW43069CR","PVW43069CR")</f>
        <v>PVW43069CR</v>
      </c>
      <c r="D6769" t="s">
        <v>6</v>
      </c>
    </row>
    <row r="6770" spans="1:4" outlineLevel="1" x14ac:dyDescent="0.25">
      <c r="A6770" t="s">
        <v>759</v>
      </c>
      <c r="B6770" t="s">
        <v>84</v>
      </c>
      <c r="C6770" s="1" t="str">
        <f>HYPERLINK("http://продеталь.рф/search.html?article=VW243000U3R00","VW243000U3R00")</f>
        <v>VW243000U3R00</v>
      </c>
      <c r="D6770" t="s">
        <v>9</v>
      </c>
    </row>
    <row r="6771" spans="1:4" outlineLevel="1" x14ac:dyDescent="0.25">
      <c r="A6771" t="s">
        <v>759</v>
      </c>
      <c r="B6771" t="s">
        <v>24</v>
      </c>
      <c r="C6771" s="1" t="str">
        <f>HYPERLINK("http://продеталь.рф/search.html?article=PVW10062AL","PVW10062AL")</f>
        <v>PVW10062AL</v>
      </c>
      <c r="D6771" t="s">
        <v>6</v>
      </c>
    </row>
    <row r="6772" spans="1:4" outlineLevel="1" x14ac:dyDescent="0.25">
      <c r="A6772" t="s">
        <v>759</v>
      </c>
      <c r="B6772" t="s">
        <v>24</v>
      </c>
      <c r="C6772" s="1" t="str">
        <f>HYPERLINK("http://продеталь.рф/search.html?article=VW24301600R00","VW24301600R00")</f>
        <v>VW24301600R00</v>
      </c>
      <c r="D6772" t="s">
        <v>9</v>
      </c>
    </row>
    <row r="6773" spans="1:4" outlineLevel="1" x14ac:dyDescent="0.25">
      <c r="A6773" t="s">
        <v>759</v>
      </c>
      <c r="B6773" t="s">
        <v>240</v>
      </c>
      <c r="C6773" s="1" t="str">
        <f>HYPERLINK("http://продеталь.рф/search.html?article=VWM1048CRE","VWM1048CRE")</f>
        <v>VWM1048CRE</v>
      </c>
      <c r="D6773" t="s">
        <v>2</v>
      </c>
    </row>
    <row r="6774" spans="1:4" outlineLevel="1" x14ac:dyDescent="0.25">
      <c r="A6774" t="s">
        <v>759</v>
      </c>
      <c r="B6774" t="s">
        <v>103</v>
      </c>
      <c r="C6774" s="1" t="str">
        <f>HYPERLINK("http://продеталь.рф/search.html?article=153127300","153127300")</f>
        <v>153127300</v>
      </c>
      <c r="D6774" t="s">
        <v>165</v>
      </c>
    </row>
    <row r="6775" spans="1:4" outlineLevel="1" x14ac:dyDescent="0.25">
      <c r="A6775" t="s">
        <v>759</v>
      </c>
      <c r="B6775" t="s">
        <v>27</v>
      </c>
      <c r="C6775" s="1" t="str">
        <f>HYPERLINK("http://продеталь.рф/search.html?article=PVW30020A","PVW30020A")</f>
        <v>PVW30020A</v>
      </c>
      <c r="D6775" t="s">
        <v>6</v>
      </c>
    </row>
    <row r="6776" spans="1:4" outlineLevel="1" x14ac:dyDescent="0.25">
      <c r="A6776" t="s">
        <v>759</v>
      </c>
      <c r="B6776" t="s">
        <v>3</v>
      </c>
      <c r="C6776" s="1" t="str">
        <f>HYPERLINK("http://продеталь.рф/search.html?article=20B778052B","20B778052B")</f>
        <v>20B778052B</v>
      </c>
      <c r="D6776" t="s">
        <v>4</v>
      </c>
    </row>
    <row r="6777" spans="1:4" outlineLevel="1" x14ac:dyDescent="0.25">
      <c r="A6777" t="s">
        <v>759</v>
      </c>
      <c r="B6777" t="s">
        <v>256</v>
      </c>
      <c r="C6777" s="1" t="str">
        <f>HYPERLINK("http://продеталь.рф/search.html?article=VVWM1048PL","VVWM1048PL")</f>
        <v>VVWM1048PL</v>
      </c>
      <c r="D6777" t="s">
        <v>6</v>
      </c>
    </row>
    <row r="6778" spans="1:4" outlineLevel="1" x14ac:dyDescent="0.25">
      <c r="A6778" t="s">
        <v>759</v>
      </c>
      <c r="B6778" t="s">
        <v>256</v>
      </c>
      <c r="C6778" s="1" t="str">
        <f>HYPERLINK("http://продеталь.рф/search.html?article=VVWM1048PR","VVWM1048PR")</f>
        <v>VVWM1048PR</v>
      </c>
      <c r="D6778" t="s">
        <v>6</v>
      </c>
    </row>
    <row r="6779" spans="1:4" outlineLevel="1" x14ac:dyDescent="0.25">
      <c r="A6779" t="s">
        <v>759</v>
      </c>
      <c r="B6779" t="s">
        <v>5</v>
      </c>
      <c r="C6779" s="1" t="str">
        <f>HYPERLINK("http://продеталь.рф/search.html?article=PVW11062AL","PVW11062AL")</f>
        <v>PVW11062AL</v>
      </c>
      <c r="D6779" t="s">
        <v>6</v>
      </c>
    </row>
    <row r="6780" spans="1:4" outlineLevel="1" x14ac:dyDescent="0.25">
      <c r="A6780" t="s">
        <v>759</v>
      </c>
      <c r="B6780" t="s">
        <v>19</v>
      </c>
      <c r="C6780" s="1" t="str">
        <f>HYPERLINK("http://продеталь.рф/search.html?article=190798019","190798019")</f>
        <v>190798019</v>
      </c>
      <c r="D6780" t="s">
        <v>4</v>
      </c>
    </row>
    <row r="6781" spans="1:4" outlineLevel="1" x14ac:dyDescent="0.25">
      <c r="A6781" t="s">
        <v>759</v>
      </c>
      <c r="B6781" t="s">
        <v>19</v>
      </c>
      <c r="C6781" s="1" t="str">
        <f>HYPERLINK("http://продеталь.рф/search.html?article=190797019","190797019")</f>
        <v>190797019</v>
      </c>
      <c r="D6781" t="s">
        <v>4</v>
      </c>
    </row>
    <row r="6782" spans="1:4" outlineLevel="1" x14ac:dyDescent="0.25">
      <c r="A6782" t="s">
        <v>759</v>
      </c>
      <c r="B6782" t="s">
        <v>30</v>
      </c>
      <c r="C6782" s="1" t="str">
        <f>HYPERLINK("http://продеталь.рф/search.html?article=PVW99031CALK","PVW99031CALK")</f>
        <v>PVW99031CALK</v>
      </c>
      <c r="D6782" t="s">
        <v>6</v>
      </c>
    </row>
    <row r="6783" spans="1:4" outlineLevel="1" x14ac:dyDescent="0.25">
      <c r="A6783" t="s">
        <v>759</v>
      </c>
      <c r="B6783" t="s">
        <v>30</v>
      </c>
      <c r="C6783" s="1" t="str">
        <f>HYPERLINK("http://продеталь.рф/search.html?article=PVW99031CARK","PVW99031CARK")</f>
        <v>PVW99031CARK</v>
      </c>
      <c r="D6783" t="s">
        <v>6</v>
      </c>
    </row>
    <row r="6784" spans="1:4" outlineLevel="1" x14ac:dyDescent="0.25">
      <c r="A6784" t="s">
        <v>759</v>
      </c>
      <c r="B6784" t="s">
        <v>40</v>
      </c>
      <c r="C6784" s="1" t="str">
        <f>HYPERLINK("http://продеталь.рф/search.html?article=PVW07097GAK","PVW07097GAK")</f>
        <v>PVW07097GAK</v>
      </c>
      <c r="D6784" t="s">
        <v>6</v>
      </c>
    </row>
    <row r="6785" spans="1:4" outlineLevel="1" x14ac:dyDescent="0.25">
      <c r="A6785" t="s">
        <v>759</v>
      </c>
      <c r="B6785" t="s">
        <v>71</v>
      </c>
      <c r="C6785" s="1" t="str">
        <f>HYPERLINK("http://продеталь.рф/search.html?article=PVW05020VA","PVW05020VA")</f>
        <v>PVW05020VA</v>
      </c>
      <c r="D6785" t="s">
        <v>6</v>
      </c>
    </row>
    <row r="6786" spans="1:4" outlineLevel="1" x14ac:dyDescent="0.25">
      <c r="A6786" t="s">
        <v>759</v>
      </c>
      <c r="B6786" t="s">
        <v>457</v>
      </c>
      <c r="C6786" s="1" t="str">
        <f>HYPERLINK("http://продеталь.рф/search.html?article=150105009","150105009")</f>
        <v>150105009</v>
      </c>
      <c r="D6786" t="s">
        <v>4</v>
      </c>
    </row>
    <row r="6787" spans="1:4" outlineLevel="1" x14ac:dyDescent="0.25">
      <c r="A6787" t="s">
        <v>759</v>
      </c>
      <c r="B6787" t="s">
        <v>13</v>
      </c>
      <c r="C6787" s="1" t="str">
        <f>HYPERLINK("http://продеталь.рф/search.html?article=PVW44066AW","PVW44066AW")</f>
        <v>PVW44066AW</v>
      </c>
      <c r="D6787" t="s">
        <v>6</v>
      </c>
    </row>
    <row r="6788" spans="1:4" x14ac:dyDescent="0.25">
      <c r="A6788" t="s">
        <v>760</v>
      </c>
      <c r="B6788" s="2" t="s">
        <v>760</v>
      </c>
      <c r="C6788" s="2"/>
      <c r="D6788" s="2"/>
    </row>
    <row r="6789" spans="1:4" outlineLevel="1" x14ac:dyDescent="0.25">
      <c r="A6789" t="s">
        <v>760</v>
      </c>
      <c r="B6789" t="s">
        <v>11</v>
      </c>
      <c r="C6789" s="1" t="str">
        <f>HYPERLINK("http://продеталь.рф/search.html?article=PVW04062BA","PVW04062BA")</f>
        <v>PVW04062BA</v>
      </c>
      <c r="D6789" t="s">
        <v>6</v>
      </c>
    </row>
    <row r="6790" spans="1:4" outlineLevel="1" x14ac:dyDescent="0.25">
      <c r="A6790" t="s">
        <v>760</v>
      </c>
      <c r="B6790" t="s">
        <v>23</v>
      </c>
      <c r="C6790" s="1" t="str">
        <f>HYPERLINK("http://продеталь.рф/search.html?article=ZVW1904L","ZVW1904L")</f>
        <v>ZVW1904L</v>
      </c>
      <c r="D6790" t="s">
        <v>6</v>
      </c>
    </row>
    <row r="6791" spans="1:4" outlineLevel="1" x14ac:dyDescent="0.25">
      <c r="A6791" t="s">
        <v>760</v>
      </c>
      <c r="B6791" t="s">
        <v>23</v>
      </c>
      <c r="C6791" s="1" t="str">
        <f>HYPERLINK("http://продеталь.рф/search.html?article=ZVW1904R","ZVW1904R")</f>
        <v>ZVW1904R</v>
      </c>
      <c r="D6791" t="s">
        <v>6</v>
      </c>
    </row>
    <row r="6792" spans="1:4" outlineLevel="1" x14ac:dyDescent="0.25">
      <c r="A6792" t="s">
        <v>760</v>
      </c>
      <c r="B6792" t="s">
        <v>92</v>
      </c>
      <c r="C6792" s="1" t="str">
        <f>HYPERLINK("http://продеталь.рф/search.html?article=PVW99064MCL","PVW99064MCL")</f>
        <v>PVW99064MCL</v>
      </c>
      <c r="D6792" t="s">
        <v>6</v>
      </c>
    </row>
    <row r="6793" spans="1:4" outlineLevel="1" x14ac:dyDescent="0.25">
      <c r="A6793" t="s">
        <v>760</v>
      </c>
      <c r="B6793" t="s">
        <v>92</v>
      </c>
      <c r="C6793" s="1" t="str">
        <f>HYPERLINK("http://продеталь.рф/search.html?article=PVW99064MCR","PVW99064MCR")</f>
        <v>PVW99064MCR</v>
      </c>
      <c r="D6793" t="s">
        <v>6</v>
      </c>
    </row>
    <row r="6794" spans="1:4" outlineLevel="1" x14ac:dyDescent="0.25">
      <c r="A6794" t="s">
        <v>760</v>
      </c>
      <c r="B6794" t="s">
        <v>92</v>
      </c>
      <c r="C6794" s="1" t="str">
        <f>HYPERLINK("http://продеталь.рф/search.html?article=VW07065MAL","VW07065MAL")</f>
        <v>VW07065MAL</v>
      </c>
      <c r="D6794" t="s">
        <v>2</v>
      </c>
    </row>
    <row r="6795" spans="1:4" outlineLevel="1" x14ac:dyDescent="0.25">
      <c r="A6795" t="s">
        <v>760</v>
      </c>
      <c r="B6795" t="s">
        <v>92</v>
      </c>
      <c r="C6795" s="1" t="str">
        <f>HYPERLINK("http://продеталь.рф/search.html?article=VW07065MAR","VW07065MAR")</f>
        <v>VW07065MAR</v>
      </c>
      <c r="D6795" t="s">
        <v>2</v>
      </c>
    </row>
    <row r="6796" spans="1:4" outlineLevel="1" x14ac:dyDescent="0.25">
      <c r="A6796" t="s">
        <v>760</v>
      </c>
      <c r="B6796" t="s">
        <v>26</v>
      </c>
      <c r="C6796" s="1" t="str">
        <f>HYPERLINK("http://продеталь.рф/search.html?article=PVW99064MAL","PVW99064MAL")</f>
        <v>PVW99064MAL</v>
      </c>
      <c r="D6796" t="s">
        <v>6</v>
      </c>
    </row>
    <row r="6797" spans="1:4" outlineLevel="1" x14ac:dyDescent="0.25">
      <c r="A6797" t="s">
        <v>760</v>
      </c>
      <c r="B6797" t="s">
        <v>26</v>
      </c>
      <c r="C6797" s="1" t="str">
        <f>HYPERLINK("http://продеталь.рф/search.html?article=PVW99064MAR","PVW99064MAR")</f>
        <v>PVW99064MAR</v>
      </c>
      <c r="D6797" t="s">
        <v>6</v>
      </c>
    </row>
    <row r="6798" spans="1:4" outlineLevel="1" x14ac:dyDescent="0.25">
      <c r="A6798" t="s">
        <v>760</v>
      </c>
      <c r="B6798" t="s">
        <v>27</v>
      </c>
      <c r="C6798" s="1" t="str">
        <f>HYPERLINK("http://продеталь.рф/search.html?article=PVW30032A","PVW30032A")</f>
        <v>PVW30032A</v>
      </c>
      <c r="D6798" t="s">
        <v>6</v>
      </c>
    </row>
    <row r="6799" spans="1:4" outlineLevel="1" x14ac:dyDescent="0.25">
      <c r="A6799" t="s">
        <v>760</v>
      </c>
      <c r="B6799" t="s">
        <v>5</v>
      </c>
      <c r="C6799" s="1" t="str">
        <f>HYPERLINK("http://продеталь.рф/search.html?article=VW11042BL","VW11042BL")</f>
        <v>VW11042BL</v>
      </c>
      <c r="D6799" t="s">
        <v>2</v>
      </c>
    </row>
    <row r="6800" spans="1:4" outlineLevel="1" x14ac:dyDescent="0.25">
      <c r="A6800" t="s">
        <v>760</v>
      </c>
      <c r="B6800" t="s">
        <v>5</v>
      </c>
      <c r="C6800" s="1" t="str">
        <f>HYPERLINK("http://продеталь.рф/search.html?article=VW17016LA2","VW17016LA2")</f>
        <v>VW17016LA2</v>
      </c>
      <c r="D6800" t="s">
        <v>9</v>
      </c>
    </row>
    <row r="6801" spans="1:4" outlineLevel="1" x14ac:dyDescent="0.25">
      <c r="A6801" t="s">
        <v>760</v>
      </c>
      <c r="B6801" t="s">
        <v>5</v>
      </c>
      <c r="C6801" s="1" t="str">
        <f>HYPERLINK("http://продеталь.рф/search.html?article=VW17016LA1","VW17016LA1")</f>
        <v>VW17016LA1</v>
      </c>
      <c r="D6801" t="s">
        <v>9</v>
      </c>
    </row>
    <row r="6802" spans="1:4" outlineLevel="1" x14ac:dyDescent="0.25">
      <c r="A6802" t="s">
        <v>760</v>
      </c>
      <c r="B6802" t="s">
        <v>19</v>
      </c>
      <c r="C6802" s="1" t="str">
        <f>HYPERLINK("http://продеталь.рф/search.html?article=VW17022500L00","VW17022500L00")</f>
        <v>VW17022500L00</v>
      </c>
      <c r="D6802" t="s">
        <v>9</v>
      </c>
    </row>
    <row r="6803" spans="1:4" outlineLevel="1" x14ac:dyDescent="0.25">
      <c r="A6803" t="s">
        <v>760</v>
      </c>
      <c r="B6803" t="s">
        <v>19</v>
      </c>
      <c r="C6803" s="1" t="str">
        <f>HYPERLINK("http://продеталь.рф/search.html?article=VW17022500R00","VW17022500R00")</f>
        <v>VW17022500R00</v>
      </c>
      <c r="D6803" t="s">
        <v>9</v>
      </c>
    </row>
    <row r="6804" spans="1:4" outlineLevel="1" x14ac:dyDescent="0.25">
      <c r="A6804" t="s">
        <v>760</v>
      </c>
      <c r="B6804" t="s">
        <v>40</v>
      </c>
      <c r="C6804" s="1" t="str">
        <f>HYPERLINK("http://продеталь.рф/search.html?article=VW07064GA","VW07064GA")</f>
        <v>VW07064GA</v>
      </c>
      <c r="D6804" t="s">
        <v>2</v>
      </c>
    </row>
    <row r="6805" spans="1:4" outlineLevel="1" x14ac:dyDescent="0.25">
      <c r="A6805" t="s">
        <v>760</v>
      </c>
      <c r="B6805" t="s">
        <v>12</v>
      </c>
      <c r="C6805" s="1" t="str">
        <f>HYPERLINK("http://продеталь.рф/search.html?article=PVW07042GA","PVW07042GA")</f>
        <v>PVW07042GA</v>
      </c>
      <c r="D6805" t="s">
        <v>6</v>
      </c>
    </row>
    <row r="6806" spans="1:4" outlineLevel="1" x14ac:dyDescent="0.25">
      <c r="A6806" t="s">
        <v>760</v>
      </c>
      <c r="B6806" t="s">
        <v>64</v>
      </c>
      <c r="C6806" s="1" t="str">
        <f>HYPERLINK("http://продеталь.рф/search.html?article=185998011A","185998011A")</f>
        <v>185998011A</v>
      </c>
      <c r="D6806" t="s">
        <v>4</v>
      </c>
    </row>
    <row r="6807" spans="1:4" outlineLevel="1" x14ac:dyDescent="0.25">
      <c r="A6807" t="s">
        <v>760</v>
      </c>
      <c r="B6807" t="s">
        <v>64</v>
      </c>
      <c r="C6807" s="1" t="str">
        <f>HYPERLINK("http://продеталь.рф/search.html?article=185997011A","185997011A")</f>
        <v>185997011A</v>
      </c>
      <c r="D6807" t="s">
        <v>4</v>
      </c>
    </row>
    <row r="6808" spans="1:4" outlineLevel="1" x14ac:dyDescent="0.25">
      <c r="A6808" t="s">
        <v>760</v>
      </c>
      <c r="B6808" t="s">
        <v>64</v>
      </c>
      <c r="C6808" s="1" t="str">
        <f>HYPERLINK("http://продеталь.рф/search.html?article=12A126059B","12A126059B")</f>
        <v>12A126059B</v>
      </c>
      <c r="D6808" t="s">
        <v>4</v>
      </c>
    </row>
    <row r="6809" spans="1:4" outlineLevel="1" x14ac:dyDescent="0.25">
      <c r="A6809" t="s">
        <v>760</v>
      </c>
      <c r="B6809" t="s">
        <v>64</v>
      </c>
      <c r="C6809" s="1" t="str">
        <f>HYPERLINK("http://продеталь.рф/search.html?article=12A125059B","12A125059B")</f>
        <v>12A125059B</v>
      </c>
      <c r="D6809" t="s">
        <v>6</v>
      </c>
    </row>
    <row r="6810" spans="1:4" outlineLevel="1" x14ac:dyDescent="0.25">
      <c r="A6810" t="s">
        <v>760</v>
      </c>
      <c r="B6810" t="s">
        <v>13</v>
      </c>
      <c r="C6810" s="1" t="str">
        <f>HYPERLINK("http://продеталь.рф/search.html?article=VW17000R0","VW17000R0")</f>
        <v>VW17000R0</v>
      </c>
      <c r="D6810" t="s">
        <v>9</v>
      </c>
    </row>
    <row r="6811" spans="1:4" x14ac:dyDescent="0.25">
      <c r="A6811" t="s">
        <v>761</v>
      </c>
      <c r="B6811" s="2" t="s">
        <v>761</v>
      </c>
      <c r="C6811" s="2"/>
      <c r="D6811" s="2"/>
    </row>
    <row r="6812" spans="1:4" outlineLevel="1" x14ac:dyDescent="0.25">
      <c r="A6812" t="s">
        <v>761</v>
      </c>
      <c r="B6812" t="s">
        <v>23</v>
      </c>
      <c r="C6812" s="1" t="str">
        <f>HYPERLINK("http://продеталь.рф/search.html?article=11B862001A","11B862001A")</f>
        <v>11B862001A</v>
      </c>
      <c r="D6812" t="s">
        <v>4</v>
      </c>
    </row>
    <row r="6813" spans="1:4" outlineLevel="1" x14ac:dyDescent="0.25">
      <c r="A6813" t="s">
        <v>761</v>
      </c>
      <c r="B6813" t="s">
        <v>23</v>
      </c>
      <c r="C6813" s="1" t="str">
        <f>HYPERLINK("http://продеталь.рф/search.html?article=11B861001A","11B861001A")</f>
        <v>11B861001A</v>
      </c>
      <c r="D6813" t="s">
        <v>4</v>
      </c>
    </row>
    <row r="6814" spans="1:4" outlineLevel="1" x14ac:dyDescent="0.25">
      <c r="A6814" t="s">
        <v>761</v>
      </c>
      <c r="B6814" t="s">
        <v>40</v>
      </c>
      <c r="C6814" s="1" t="str">
        <f>HYPERLINK("http://продеталь.рф/search.html?article=PVW99066GAL","PVW99066GAL")</f>
        <v>PVW99066GAL</v>
      </c>
      <c r="D6814" t="s">
        <v>6</v>
      </c>
    </row>
    <row r="6815" spans="1:4" x14ac:dyDescent="0.25">
      <c r="A6815" t="s">
        <v>762</v>
      </c>
      <c r="B6815" s="2" t="s">
        <v>762</v>
      </c>
      <c r="C6815" s="2"/>
      <c r="D6815" s="2"/>
    </row>
    <row r="6816" spans="1:4" outlineLevel="1" x14ac:dyDescent="0.25">
      <c r="A6816" t="s">
        <v>762</v>
      </c>
      <c r="B6816" t="s">
        <v>11</v>
      </c>
      <c r="C6816" s="1" t="str">
        <f>HYPERLINK("http://продеталь.рф/search.html?article=PVW04103BA","PVW04103BA")</f>
        <v>PVW04103BA</v>
      </c>
      <c r="D6816" t="s">
        <v>6</v>
      </c>
    </row>
    <row r="6817" spans="1:4" outlineLevel="1" x14ac:dyDescent="0.25">
      <c r="A6817" t="s">
        <v>762</v>
      </c>
      <c r="B6817" t="s">
        <v>184</v>
      </c>
      <c r="C6817" s="1" t="str">
        <f>HYPERLINK("http://продеталь.рф/search.html?article=PVW04039PAL","PVW04039PAL")</f>
        <v>PVW04039PAL</v>
      </c>
      <c r="D6817" t="s">
        <v>6</v>
      </c>
    </row>
    <row r="6818" spans="1:4" outlineLevel="1" x14ac:dyDescent="0.25">
      <c r="A6818" t="s">
        <v>762</v>
      </c>
      <c r="B6818" t="s">
        <v>15</v>
      </c>
      <c r="C6818" s="1" t="str">
        <f>HYPERLINK("http://продеталь.рф/search.html?article=3370105","3370105")</f>
        <v>3370105</v>
      </c>
      <c r="D6818" t="s">
        <v>4</v>
      </c>
    </row>
    <row r="6819" spans="1:4" outlineLevel="1" x14ac:dyDescent="0.25">
      <c r="A6819" t="s">
        <v>762</v>
      </c>
      <c r="B6819" t="s">
        <v>15</v>
      </c>
      <c r="C6819" s="1" t="str">
        <f>HYPERLINK("http://продеталь.рф/search.html?article=3370104","3370104")</f>
        <v>3370104</v>
      </c>
      <c r="D6819" t="s">
        <v>4</v>
      </c>
    </row>
    <row r="6820" spans="1:4" outlineLevel="1" x14ac:dyDescent="0.25">
      <c r="A6820" t="s">
        <v>762</v>
      </c>
      <c r="B6820" t="s">
        <v>1</v>
      </c>
      <c r="C6820" s="1" t="str">
        <f>HYPERLINK("http://продеталь.рф/search.html?article=PVW20042A","PVW20042A")</f>
        <v>PVW20042A</v>
      </c>
      <c r="D6820" t="s">
        <v>6</v>
      </c>
    </row>
    <row r="6821" spans="1:4" outlineLevel="1" x14ac:dyDescent="0.25">
      <c r="A6821" t="s">
        <v>762</v>
      </c>
      <c r="B6821" t="s">
        <v>28</v>
      </c>
      <c r="C6821" s="1" t="str">
        <f>HYPERLINK("http://продеталь.рф/search.html?article=RA65231A","RA65231A")</f>
        <v>RA65231A</v>
      </c>
      <c r="D6821" t="s">
        <v>6</v>
      </c>
    </row>
    <row r="6822" spans="1:4" outlineLevel="1" x14ac:dyDescent="0.25">
      <c r="A6822" t="s">
        <v>762</v>
      </c>
      <c r="B6822" t="s">
        <v>16</v>
      </c>
      <c r="C6822" s="1" t="str">
        <f>HYPERLINK("http://продеталь.рф/search.html?article=ZVW1526YL","ZVW1526YL")</f>
        <v>ZVW1526YL</v>
      </c>
      <c r="D6822" t="s">
        <v>6</v>
      </c>
    </row>
    <row r="6823" spans="1:4" outlineLevel="1" x14ac:dyDescent="0.25">
      <c r="A6823" t="s">
        <v>762</v>
      </c>
      <c r="B6823" t="s">
        <v>16</v>
      </c>
      <c r="C6823" s="1" t="str">
        <f>HYPERLINK("http://продеталь.рф/search.html?article=ZVW1526YR","ZVW1526YR")</f>
        <v>ZVW1526YR</v>
      </c>
      <c r="D6823" t="s">
        <v>6</v>
      </c>
    </row>
    <row r="6824" spans="1:4" x14ac:dyDescent="0.25">
      <c r="A6824" t="s">
        <v>763</v>
      </c>
      <c r="B6824" s="2" t="s">
        <v>763</v>
      </c>
      <c r="C6824" s="2"/>
      <c r="D6824" s="2"/>
    </row>
    <row r="6825" spans="1:4" outlineLevel="1" x14ac:dyDescent="0.25">
      <c r="A6825" t="s">
        <v>763</v>
      </c>
      <c r="B6825" t="s">
        <v>27</v>
      </c>
      <c r="C6825" s="1" t="str">
        <f>HYPERLINK("http://продеталь.рф/search.html?article=VWA1009A0","VWA1009A0")</f>
        <v>VWA1009A0</v>
      </c>
      <c r="D6825" t="s">
        <v>9</v>
      </c>
    </row>
    <row r="6826" spans="1:4" outlineLevel="1" x14ac:dyDescent="0.25">
      <c r="A6826" t="s">
        <v>763</v>
      </c>
      <c r="B6826" t="s">
        <v>27</v>
      </c>
      <c r="C6826" s="1" t="str">
        <f>HYPERLINK("http://продеталь.рф/search.html?article=VWA1009C0","VWA1009C0")</f>
        <v>VWA1009C0</v>
      </c>
      <c r="D6826" t="s">
        <v>9</v>
      </c>
    </row>
    <row r="6827" spans="1:4" outlineLevel="1" x14ac:dyDescent="0.25">
      <c r="A6827" t="s">
        <v>763</v>
      </c>
      <c r="B6827" t="s">
        <v>3</v>
      </c>
      <c r="C6827" s="1" t="str">
        <f>HYPERLINK("http://продеталь.рф/search.html?article=205672082","205672082")</f>
        <v>205672082</v>
      </c>
      <c r="D6827" t="s">
        <v>4</v>
      </c>
    </row>
    <row r="6828" spans="1:4" outlineLevel="1" x14ac:dyDescent="0.25">
      <c r="A6828" t="s">
        <v>763</v>
      </c>
      <c r="B6828" t="s">
        <v>5</v>
      </c>
      <c r="C6828" s="1" t="str">
        <f>HYPERLINK("http://продеталь.рф/search.html?article=VW040016L0L00","VW040016L0L00")</f>
        <v>VW040016L0L00</v>
      </c>
      <c r="D6828" t="s">
        <v>9</v>
      </c>
    </row>
    <row r="6829" spans="1:4" outlineLevel="1" x14ac:dyDescent="0.25">
      <c r="A6829" t="s">
        <v>763</v>
      </c>
      <c r="B6829" t="s">
        <v>19</v>
      </c>
      <c r="C6829" s="1" t="str">
        <f>HYPERLINK("http://продеталь.рф/search.html?article=195077052","195077052")</f>
        <v>195077052</v>
      </c>
      <c r="D6829" t="s">
        <v>4</v>
      </c>
    </row>
    <row r="6830" spans="1:4" outlineLevel="1" x14ac:dyDescent="0.25">
      <c r="A6830" t="s">
        <v>763</v>
      </c>
      <c r="B6830" t="s">
        <v>12</v>
      </c>
      <c r="C6830" s="1" t="str">
        <f>HYPERLINK("http://продеталь.рф/search.html?article=VWA10930","VWA10930")</f>
        <v>VWA10930</v>
      </c>
      <c r="D6830" t="s">
        <v>9</v>
      </c>
    </row>
    <row r="6831" spans="1:4" outlineLevel="1" x14ac:dyDescent="0.25">
      <c r="A6831" t="s">
        <v>763</v>
      </c>
      <c r="B6831" t="s">
        <v>13</v>
      </c>
      <c r="C6831" s="1" t="str">
        <f>HYPERLINK("http://продеталь.рф/search.html?article=VWA1000R0","VWA1000R0")</f>
        <v>VWA1000R0</v>
      </c>
      <c r="D6831" t="s">
        <v>9</v>
      </c>
    </row>
    <row r="6832" spans="1:4" x14ac:dyDescent="0.25">
      <c r="A6832" t="s">
        <v>764</v>
      </c>
      <c r="B6832" s="2" t="s">
        <v>764</v>
      </c>
      <c r="C6832" s="2"/>
      <c r="D6832" s="2"/>
    </row>
    <row r="6833" spans="1:4" outlineLevel="1" x14ac:dyDescent="0.25">
      <c r="A6833" t="s">
        <v>764</v>
      </c>
      <c r="B6833" t="s">
        <v>23</v>
      </c>
      <c r="C6833" s="1" t="str">
        <f>HYPERLINK("http://продеталь.рф/search.html?article=ZVW1918L","ZVW1918L")</f>
        <v>ZVW1918L</v>
      </c>
      <c r="D6833" t="s">
        <v>6</v>
      </c>
    </row>
    <row r="6834" spans="1:4" outlineLevel="1" x14ac:dyDescent="0.25">
      <c r="A6834" t="s">
        <v>764</v>
      </c>
      <c r="B6834" t="s">
        <v>23</v>
      </c>
      <c r="C6834" s="1" t="str">
        <f>HYPERLINK("http://продеталь.рф/search.html?article=ZVW1918R","ZVW1918R")</f>
        <v>ZVW1918R</v>
      </c>
      <c r="D6834" t="s">
        <v>6</v>
      </c>
    </row>
    <row r="6835" spans="1:4" outlineLevel="1" x14ac:dyDescent="0.25">
      <c r="A6835" t="s">
        <v>764</v>
      </c>
      <c r="B6835" t="s">
        <v>45</v>
      </c>
      <c r="C6835" s="1" t="str">
        <f>HYPERLINK("http://продеталь.рф/search.html?article=9536581","9536581")</f>
        <v>9536581</v>
      </c>
      <c r="D6835" t="s">
        <v>46</v>
      </c>
    </row>
    <row r="6836" spans="1:4" outlineLevel="1" x14ac:dyDescent="0.25">
      <c r="A6836" t="s">
        <v>764</v>
      </c>
      <c r="B6836" t="s">
        <v>3</v>
      </c>
      <c r="C6836" s="1" t="str">
        <f>HYPERLINK("http://продеталь.рф/search.html?article=ZVW1101LK","ZVW1101LK")</f>
        <v>ZVW1101LK</v>
      </c>
      <c r="D6836" t="s">
        <v>6</v>
      </c>
    </row>
    <row r="6837" spans="1:4" outlineLevel="1" x14ac:dyDescent="0.25">
      <c r="A6837" t="s">
        <v>764</v>
      </c>
      <c r="B6837" t="s">
        <v>3</v>
      </c>
      <c r="C6837" s="1" t="str">
        <f>HYPERLINK("http://продеталь.рф/search.html?article=ZVW1101RK","ZVW1101RK")</f>
        <v>ZVW1101RK</v>
      </c>
      <c r="D6837" t="s">
        <v>6</v>
      </c>
    </row>
    <row r="6838" spans="1:4" outlineLevel="1" x14ac:dyDescent="0.25">
      <c r="A6838" t="s">
        <v>764</v>
      </c>
      <c r="B6838" t="s">
        <v>3</v>
      </c>
      <c r="C6838" s="1" t="str">
        <f>HYPERLINK("http://продеталь.рф/search.html?article=ZVW1101CL","ZVW1101CL")</f>
        <v>ZVW1101CL</v>
      </c>
      <c r="D6838" t="s">
        <v>6</v>
      </c>
    </row>
    <row r="6839" spans="1:4" outlineLevel="1" x14ac:dyDescent="0.25">
      <c r="A6839" t="s">
        <v>764</v>
      </c>
      <c r="B6839" t="s">
        <v>54</v>
      </c>
      <c r="C6839" s="1" t="str">
        <f>HYPERLINK("http://продеталь.рф/search.html?article=9536011","9536011")</f>
        <v>9536011</v>
      </c>
      <c r="D6839" t="s">
        <v>46</v>
      </c>
    </row>
    <row r="6840" spans="1:4" outlineLevel="1" x14ac:dyDescent="0.25">
      <c r="A6840" t="s">
        <v>764</v>
      </c>
      <c r="B6840" t="s">
        <v>54</v>
      </c>
      <c r="C6840" s="1" t="str">
        <f>HYPERLINK("http://продеталь.рф/search.html?article=9536012","9536012")</f>
        <v>9536012</v>
      </c>
      <c r="D6840" t="s">
        <v>46</v>
      </c>
    </row>
    <row r="6841" spans="1:4" outlineLevel="1" x14ac:dyDescent="0.25">
      <c r="A6841" t="s">
        <v>764</v>
      </c>
      <c r="B6841" t="s">
        <v>19</v>
      </c>
      <c r="C6841" s="1" t="str">
        <f>HYPERLINK("http://продеталь.рф/search.html?article=ZVW2001CR","ZVW2001CR")</f>
        <v>ZVW2001CR</v>
      </c>
      <c r="D6841" t="s">
        <v>6</v>
      </c>
    </row>
    <row r="6842" spans="1:4" outlineLevel="1" x14ac:dyDescent="0.25">
      <c r="A6842" t="s">
        <v>764</v>
      </c>
      <c r="B6842" t="s">
        <v>19</v>
      </c>
      <c r="C6842" s="1" t="str">
        <f>HYPERLINK("http://продеталь.рф/search.html?article=ZVW2001YL","ZVW2001YL")</f>
        <v>ZVW2001YL</v>
      </c>
      <c r="D6842" t="s">
        <v>6</v>
      </c>
    </row>
    <row r="6843" spans="1:4" outlineLevel="1" x14ac:dyDescent="0.25">
      <c r="A6843" t="s">
        <v>764</v>
      </c>
      <c r="B6843" t="s">
        <v>16</v>
      </c>
      <c r="C6843" s="1" t="str">
        <f>HYPERLINK("http://продеталь.рф/search.html?article=ZVW1501","ZVW1501")</f>
        <v>ZVW1501</v>
      </c>
      <c r="D6843" t="s">
        <v>6</v>
      </c>
    </row>
    <row r="6844" spans="1:4" x14ac:dyDescent="0.25">
      <c r="A6844" t="s">
        <v>765</v>
      </c>
      <c r="B6844" s="2" t="s">
        <v>765</v>
      </c>
      <c r="C6844" s="2"/>
      <c r="D6844" s="2"/>
    </row>
    <row r="6845" spans="1:4" outlineLevel="1" x14ac:dyDescent="0.25">
      <c r="A6845" t="s">
        <v>765</v>
      </c>
      <c r="B6845" t="s">
        <v>11</v>
      </c>
      <c r="C6845" s="1" t="str">
        <f>HYPERLINK("http://продеталь.рф/search.html?article=VW04033BB","VW04033BB")</f>
        <v>VW04033BB</v>
      </c>
      <c r="D6845" t="s">
        <v>2</v>
      </c>
    </row>
    <row r="6846" spans="1:4" outlineLevel="1" x14ac:dyDescent="0.25">
      <c r="A6846" t="s">
        <v>765</v>
      </c>
      <c r="B6846" t="s">
        <v>11</v>
      </c>
      <c r="C6846" s="1" t="str">
        <f>HYPERLINK("http://продеталь.рф/search.html?article=VW04019BA","VW04019BA")</f>
        <v>VW04019BA</v>
      </c>
      <c r="D6846" t="s">
        <v>2</v>
      </c>
    </row>
    <row r="6847" spans="1:4" outlineLevel="1" x14ac:dyDescent="0.25">
      <c r="A6847" t="s">
        <v>765</v>
      </c>
      <c r="B6847" t="s">
        <v>11</v>
      </c>
      <c r="C6847" s="1" t="str">
        <f>HYPERLINK("http://продеталь.рф/search.html?article=VW04033BD","VW04033BD")</f>
        <v>VW04033BD</v>
      </c>
      <c r="D6847" t="s">
        <v>2</v>
      </c>
    </row>
    <row r="6848" spans="1:4" outlineLevel="1" x14ac:dyDescent="0.25">
      <c r="A6848" t="s">
        <v>765</v>
      </c>
      <c r="B6848" t="s">
        <v>15</v>
      </c>
      <c r="C6848" s="1" t="str">
        <f>HYPERLINK("http://продеталь.рф/search.html?article=3370031","3370031")</f>
        <v>3370031</v>
      </c>
      <c r="D6848" t="s">
        <v>4</v>
      </c>
    </row>
    <row r="6849" spans="1:4" outlineLevel="1" x14ac:dyDescent="0.25">
      <c r="A6849" t="s">
        <v>765</v>
      </c>
      <c r="B6849" t="s">
        <v>15</v>
      </c>
      <c r="C6849" s="1" t="str">
        <f>HYPERLINK("http://продеталь.рф/search.html?article=3370033","3370033")</f>
        <v>3370033</v>
      </c>
      <c r="D6849" t="s">
        <v>4</v>
      </c>
    </row>
    <row r="6850" spans="1:4" outlineLevel="1" x14ac:dyDescent="0.25">
      <c r="A6850" t="s">
        <v>765</v>
      </c>
      <c r="B6850" t="s">
        <v>23</v>
      </c>
      <c r="C6850" s="1" t="str">
        <f>HYPERLINK("http://продеталь.рф/search.html?article=ZVW1915L","ZVW1915L")</f>
        <v>ZVW1915L</v>
      </c>
      <c r="D6850" t="s">
        <v>6</v>
      </c>
    </row>
    <row r="6851" spans="1:4" outlineLevel="1" x14ac:dyDescent="0.25">
      <c r="A6851" t="s">
        <v>765</v>
      </c>
      <c r="B6851" t="s">
        <v>23</v>
      </c>
      <c r="C6851" s="1" t="str">
        <f>HYPERLINK("http://продеталь.рф/search.html?article=ZVW1915R","ZVW1915R")</f>
        <v>ZVW1915R</v>
      </c>
      <c r="D6851" t="s">
        <v>6</v>
      </c>
    </row>
    <row r="6852" spans="1:4" outlineLevel="1" x14ac:dyDescent="0.25">
      <c r="A6852" t="s">
        <v>765</v>
      </c>
      <c r="B6852" t="s">
        <v>45</v>
      </c>
      <c r="C6852" s="1" t="str">
        <f>HYPERLINK("http://продеталь.рф/search.html?article=9537581","9537581")</f>
        <v>9537581</v>
      </c>
      <c r="D6852" t="s">
        <v>46</v>
      </c>
    </row>
    <row r="6853" spans="1:4" outlineLevel="1" x14ac:dyDescent="0.25">
      <c r="A6853" t="s">
        <v>765</v>
      </c>
      <c r="B6853" t="s">
        <v>45</v>
      </c>
      <c r="C6853" s="1" t="str">
        <f>HYPERLINK("http://продеталь.рф/search.html?article=9537582","9537582")</f>
        <v>9537582</v>
      </c>
      <c r="D6853" t="s">
        <v>46</v>
      </c>
    </row>
    <row r="6854" spans="1:4" outlineLevel="1" x14ac:dyDescent="0.25">
      <c r="A6854" t="s">
        <v>765</v>
      </c>
      <c r="B6854" t="s">
        <v>45</v>
      </c>
      <c r="C6854" s="1" t="str">
        <f>HYPERLINK("http://продеталь.рф/search.html?article=9537583","9537583")</f>
        <v>9537583</v>
      </c>
      <c r="D6854" t="s">
        <v>46</v>
      </c>
    </row>
    <row r="6855" spans="1:4" outlineLevel="1" x14ac:dyDescent="0.25">
      <c r="A6855" t="s">
        <v>765</v>
      </c>
      <c r="B6855" t="s">
        <v>45</v>
      </c>
      <c r="C6855" s="1" t="str">
        <f>HYPERLINK("http://продеталь.рф/search.html?article=9537584","9537584")</f>
        <v>9537584</v>
      </c>
      <c r="D6855" t="s">
        <v>46</v>
      </c>
    </row>
    <row r="6856" spans="1:4" outlineLevel="1" x14ac:dyDescent="0.25">
      <c r="A6856" t="s">
        <v>765</v>
      </c>
      <c r="B6856" t="s">
        <v>35</v>
      </c>
      <c r="C6856" s="1" t="str">
        <f>HYPERLINK("http://продеталь.рф/search.html?article=311003","311003")</f>
        <v>311003</v>
      </c>
      <c r="D6856" t="s">
        <v>21</v>
      </c>
    </row>
    <row r="6857" spans="1:4" outlineLevel="1" x14ac:dyDescent="0.25">
      <c r="A6857" t="s">
        <v>765</v>
      </c>
      <c r="B6857" t="s">
        <v>1</v>
      </c>
      <c r="C6857" s="1" t="str">
        <f>HYPERLINK("http://продеталь.рф/search.html?article=VW20006A","VW20006A")</f>
        <v>VW20006A</v>
      </c>
      <c r="D6857" t="s">
        <v>2</v>
      </c>
    </row>
    <row r="6858" spans="1:4" outlineLevel="1" x14ac:dyDescent="0.25">
      <c r="A6858" t="s">
        <v>765</v>
      </c>
      <c r="B6858" t="s">
        <v>84</v>
      </c>
      <c r="C6858" s="1" t="str">
        <f>HYPERLINK("http://продеталь.рф/search.html?article=0919312","0919312")</f>
        <v>0919312</v>
      </c>
      <c r="D6858" t="s">
        <v>58</v>
      </c>
    </row>
    <row r="6859" spans="1:4" outlineLevel="1" x14ac:dyDescent="0.25">
      <c r="A6859" t="s">
        <v>765</v>
      </c>
      <c r="B6859" t="s">
        <v>84</v>
      </c>
      <c r="C6859" s="1" t="str">
        <f>HYPERLINK("http://продеталь.рф/search.html?article=0919311","0919311")</f>
        <v>0919311</v>
      </c>
      <c r="D6859" t="s">
        <v>58</v>
      </c>
    </row>
    <row r="6860" spans="1:4" outlineLevel="1" x14ac:dyDescent="0.25">
      <c r="A6860" t="s">
        <v>765</v>
      </c>
      <c r="B6860" t="s">
        <v>84</v>
      </c>
      <c r="C6860" s="1" t="str">
        <f>HYPERLINK("http://продеталь.рф/search.html?article=PVW43001A","PVW43001A")</f>
        <v>PVW43001A</v>
      </c>
      <c r="D6860" t="s">
        <v>6</v>
      </c>
    </row>
    <row r="6861" spans="1:4" outlineLevel="1" x14ac:dyDescent="0.25">
      <c r="A6861" t="s">
        <v>765</v>
      </c>
      <c r="B6861" t="s">
        <v>24</v>
      </c>
      <c r="C6861" s="1" t="str">
        <f>HYPERLINK("http://продеталь.рф/search.html?article=02190112","02190112")</f>
        <v>02190112</v>
      </c>
      <c r="D6861" t="s">
        <v>47</v>
      </c>
    </row>
    <row r="6862" spans="1:4" outlineLevel="1" x14ac:dyDescent="0.25">
      <c r="A6862" t="s">
        <v>765</v>
      </c>
      <c r="B6862" t="s">
        <v>24</v>
      </c>
      <c r="C6862" s="1" t="str">
        <f>HYPERLINK("http://продеталь.рф/search.html?article=02190111","02190111")</f>
        <v>02190111</v>
      </c>
      <c r="D6862" t="s">
        <v>47</v>
      </c>
    </row>
    <row r="6863" spans="1:4" outlineLevel="1" x14ac:dyDescent="0.25">
      <c r="A6863" t="s">
        <v>765</v>
      </c>
      <c r="B6863" t="s">
        <v>51</v>
      </c>
      <c r="C6863" s="1" t="str">
        <f>HYPERLINK("http://продеталь.рф/search.html?article=VW34003A","VW34003A")</f>
        <v>VW34003A</v>
      </c>
      <c r="D6863" t="s">
        <v>2</v>
      </c>
    </row>
    <row r="6864" spans="1:4" outlineLevel="1" x14ac:dyDescent="0.25">
      <c r="A6864" t="s">
        <v>765</v>
      </c>
      <c r="B6864" t="s">
        <v>27</v>
      </c>
      <c r="C6864" s="1" t="str">
        <f>HYPERLINK("http://продеталь.рф/search.html?article=VW30001A","VW30001A")</f>
        <v>VW30001A</v>
      </c>
      <c r="D6864" t="s">
        <v>2</v>
      </c>
    </row>
    <row r="6865" spans="1:4" outlineLevel="1" x14ac:dyDescent="0.25">
      <c r="A6865" t="s">
        <v>765</v>
      </c>
      <c r="B6865" t="s">
        <v>3</v>
      </c>
      <c r="C6865" s="1" t="str">
        <f>HYPERLINK("http://продеталь.рф/search.html?article=205050082","205050082")</f>
        <v>205050082</v>
      </c>
      <c r="D6865" t="s">
        <v>4</v>
      </c>
    </row>
    <row r="6866" spans="1:4" outlineLevel="1" x14ac:dyDescent="0.25">
      <c r="A6866" t="s">
        <v>765</v>
      </c>
      <c r="B6866" t="s">
        <v>3</v>
      </c>
      <c r="C6866" s="1" t="str">
        <f>HYPERLINK("http://продеталь.рф/search.html?article=205049082","205049082")</f>
        <v>205049082</v>
      </c>
      <c r="D6866" t="s">
        <v>4</v>
      </c>
    </row>
    <row r="6867" spans="1:4" outlineLevel="1" x14ac:dyDescent="0.25">
      <c r="A6867" t="s">
        <v>765</v>
      </c>
      <c r="B6867" t="s">
        <v>3</v>
      </c>
      <c r="C6867" s="1" t="str">
        <f>HYPERLINK("http://продеталь.рф/search.html?article=ZVW1109R","ZVW1109R")</f>
        <v>ZVW1109R</v>
      </c>
      <c r="D6867" t="s">
        <v>6</v>
      </c>
    </row>
    <row r="6868" spans="1:4" outlineLevel="1" x14ac:dyDescent="0.25">
      <c r="A6868" t="s">
        <v>765</v>
      </c>
      <c r="B6868" t="s">
        <v>54</v>
      </c>
      <c r="C6868" s="1" t="str">
        <f>HYPERLINK("http://продеталь.рф/search.html?article=9537011","9537011")</f>
        <v>9537011</v>
      </c>
      <c r="D6868" t="s">
        <v>46</v>
      </c>
    </row>
    <row r="6869" spans="1:4" outlineLevel="1" x14ac:dyDescent="0.25">
      <c r="A6869" t="s">
        <v>765</v>
      </c>
      <c r="B6869" t="s">
        <v>54</v>
      </c>
      <c r="C6869" s="1" t="str">
        <f>HYPERLINK("http://продеталь.рф/search.html?article=9537012","9537012")</f>
        <v>9537012</v>
      </c>
      <c r="D6869" t="s">
        <v>46</v>
      </c>
    </row>
    <row r="6870" spans="1:4" outlineLevel="1" x14ac:dyDescent="0.25">
      <c r="A6870" t="s">
        <v>765</v>
      </c>
      <c r="B6870" t="s">
        <v>19</v>
      </c>
      <c r="C6870" s="1" t="str">
        <f>HYPERLINK("http://продеталь.рф/search.html?article=ZVW2002KR","ZVW2002KR")</f>
        <v>ZVW2002KR</v>
      </c>
      <c r="D6870" t="s">
        <v>6</v>
      </c>
    </row>
    <row r="6871" spans="1:4" outlineLevel="1" x14ac:dyDescent="0.25">
      <c r="A6871" t="s">
        <v>765</v>
      </c>
      <c r="B6871" t="s">
        <v>28</v>
      </c>
      <c r="C6871" s="1" t="str">
        <f>HYPERLINK("http://продеталь.рф/search.html?article=7370003","7370003")</f>
        <v>7370003</v>
      </c>
      <c r="D6871" t="s">
        <v>4</v>
      </c>
    </row>
    <row r="6872" spans="1:4" outlineLevel="1" x14ac:dyDescent="0.25">
      <c r="A6872" t="s">
        <v>765</v>
      </c>
      <c r="B6872" t="s">
        <v>28</v>
      </c>
      <c r="C6872" s="1" t="str">
        <f>HYPERLINK("http://продеталь.рф/search.html?article=RA65174A","RA65174A")</f>
        <v>RA65174A</v>
      </c>
      <c r="D6872" t="s">
        <v>6</v>
      </c>
    </row>
    <row r="6873" spans="1:4" outlineLevel="1" x14ac:dyDescent="0.25">
      <c r="A6873" t="s">
        <v>765</v>
      </c>
      <c r="B6873" t="s">
        <v>28</v>
      </c>
      <c r="C6873" s="1" t="str">
        <f>HYPERLINK("http://продеталь.рф/search.html?article=RA65249","RA65249")</f>
        <v>RA65249</v>
      </c>
      <c r="D6873" t="s">
        <v>6</v>
      </c>
    </row>
    <row r="6874" spans="1:4" outlineLevel="1" x14ac:dyDescent="0.25">
      <c r="A6874" t="s">
        <v>765</v>
      </c>
      <c r="B6874" t="s">
        <v>40</v>
      </c>
      <c r="C6874" s="1" t="str">
        <f>HYPERLINK("http://продеталь.рф/search.html?article=VW07045GA","VW07045GA")</f>
        <v>VW07045GA</v>
      </c>
      <c r="D6874" t="s">
        <v>2</v>
      </c>
    </row>
    <row r="6875" spans="1:4" outlineLevel="1" x14ac:dyDescent="0.25">
      <c r="A6875" t="s">
        <v>765</v>
      </c>
      <c r="B6875" t="s">
        <v>12</v>
      </c>
      <c r="C6875" s="1" t="str">
        <f>HYPERLINK("http://продеталь.рф/search.html?article=VW31001A","VW31001A")</f>
        <v>VW31001A</v>
      </c>
      <c r="D6875" t="s">
        <v>2</v>
      </c>
    </row>
    <row r="6876" spans="1:4" outlineLevel="1" x14ac:dyDescent="0.25">
      <c r="A6876" t="s">
        <v>765</v>
      </c>
      <c r="B6876" t="s">
        <v>31</v>
      </c>
      <c r="C6876" s="1" t="str">
        <f>HYPERLINK("http://продеталь.рф/search.html?article=R357839205L","R357839205L")</f>
        <v>R357839205L</v>
      </c>
      <c r="D6876" t="s">
        <v>6</v>
      </c>
    </row>
    <row r="6877" spans="1:4" outlineLevel="1" x14ac:dyDescent="0.25">
      <c r="A6877" t="s">
        <v>765</v>
      </c>
      <c r="B6877" t="s">
        <v>31</v>
      </c>
      <c r="C6877" s="1" t="str">
        <f>HYPERLINK("http://продеталь.рф/search.html?article=R357837207AL","R357837207AL")</f>
        <v>R357837207AL</v>
      </c>
      <c r="D6877" t="s">
        <v>6</v>
      </c>
    </row>
    <row r="6878" spans="1:4" outlineLevel="1" x14ac:dyDescent="0.25">
      <c r="A6878" t="s">
        <v>765</v>
      </c>
      <c r="B6878" t="s">
        <v>31</v>
      </c>
      <c r="C6878" s="1" t="str">
        <f>HYPERLINK("http://продеталь.рф/search.html?article=R357837208ABR","R357837208ABR")</f>
        <v>R357837208ABR</v>
      </c>
      <c r="D6878" t="s">
        <v>6</v>
      </c>
    </row>
    <row r="6879" spans="1:4" outlineLevel="1" x14ac:dyDescent="0.25">
      <c r="A6879" t="s">
        <v>765</v>
      </c>
      <c r="B6879" t="s">
        <v>31</v>
      </c>
      <c r="C6879" s="1" t="str">
        <f>HYPERLINK("http://продеталь.рф/search.html?article=R357837205BL","R357837205BL")</f>
        <v>R357837205BL</v>
      </c>
      <c r="D6879" t="s">
        <v>6</v>
      </c>
    </row>
    <row r="6880" spans="1:4" outlineLevel="1" x14ac:dyDescent="0.25">
      <c r="A6880" t="s">
        <v>765</v>
      </c>
      <c r="B6880" t="s">
        <v>31</v>
      </c>
      <c r="C6880" s="1" t="str">
        <f>HYPERLINK("http://продеталь.рф/search.html?article=R357837207ABL","R357837207ABL")</f>
        <v>R357837207ABL</v>
      </c>
      <c r="D6880" t="s">
        <v>6</v>
      </c>
    </row>
    <row r="6881" spans="1:4" outlineLevel="1" x14ac:dyDescent="0.25">
      <c r="A6881" t="s">
        <v>765</v>
      </c>
      <c r="B6881" t="s">
        <v>31</v>
      </c>
      <c r="C6881" s="1" t="str">
        <f>HYPERLINK("http://продеталь.рф/search.html?article=R357837206BR","R357837206BR")</f>
        <v>R357837206BR</v>
      </c>
      <c r="D6881" t="s">
        <v>6</v>
      </c>
    </row>
    <row r="6882" spans="1:4" outlineLevel="1" x14ac:dyDescent="0.25">
      <c r="A6882" t="s">
        <v>765</v>
      </c>
      <c r="B6882" t="s">
        <v>71</v>
      </c>
      <c r="C6882" s="1" t="str">
        <f>HYPERLINK("http://продеталь.рф/search.html?article=PVW02005SKL","PVW02005SKL")</f>
        <v>PVW02005SKL</v>
      </c>
      <c r="D6882" t="s">
        <v>6</v>
      </c>
    </row>
    <row r="6883" spans="1:4" outlineLevel="1" x14ac:dyDescent="0.25">
      <c r="A6883" t="s">
        <v>765</v>
      </c>
      <c r="B6883" t="s">
        <v>71</v>
      </c>
      <c r="C6883" s="1" t="str">
        <f>HYPERLINK("http://продеталь.рф/search.html?article=PVW02005SKR","PVW02005SKR")</f>
        <v>PVW02005SKR</v>
      </c>
      <c r="D6883" t="s">
        <v>6</v>
      </c>
    </row>
    <row r="6884" spans="1:4" outlineLevel="1" x14ac:dyDescent="0.25">
      <c r="A6884" t="s">
        <v>765</v>
      </c>
      <c r="B6884" t="s">
        <v>71</v>
      </c>
      <c r="C6884" s="1" t="str">
        <f>HYPERLINK("http://продеталь.рф/search.html?article=0919711","0919711")</f>
        <v>0919711</v>
      </c>
      <c r="D6884" t="s">
        <v>58</v>
      </c>
    </row>
    <row r="6885" spans="1:4" outlineLevel="1" x14ac:dyDescent="0.25">
      <c r="A6885" t="s">
        <v>765</v>
      </c>
      <c r="B6885" t="s">
        <v>71</v>
      </c>
      <c r="C6885" s="1" t="str">
        <f>HYPERLINK("http://продеталь.рф/search.html?article=0919712","0919712")</f>
        <v>0919712</v>
      </c>
      <c r="D6885" t="s">
        <v>58</v>
      </c>
    </row>
    <row r="6886" spans="1:4" outlineLevel="1" x14ac:dyDescent="0.25">
      <c r="A6886" t="s">
        <v>765</v>
      </c>
      <c r="B6886" t="s">
        <v>32</v>
      </c>
      <c r="C6886" s="1" t="str">
        <f>HYPERLINK("http://продеталь.рф/search.html?article=SVWM1002BL","SVWM1002BL")</f>
        <v>SVWM1002BL</v>
      </c>
      <c r="D6886" t="s">
        <v>6</v>
      </c>
    </row>
    <row r="6887" spans="1:4" outlineLevel="1" x14ac:dyDescent="0.25">
      <c r="A6887" t="s">
        <v>765</v>
      </c>
      <c r="B6887" t="s">
        <v>32</v>
      </c>
      <c r="C6887" s="1" t="str">
        <f>HYPERLINK("http://продеталь.рф/search.html?article=SVWM1002BR","SVWM1002BR")</f>
        <v>SVWM1002BR</v>
      </c>
      <c r="D6887" t="s">
        <v>6</v>
      </c>
    </row>
    <row r="6888" spans="1:4" outlineLevel="1" x14ac:dyDescent="0.25">
      <c r="A6888" t="s">
        <v>765</v>
      </c>
      <c r="B6888" t="s">
        <v>16</v>
      </c>
      <c r="C6888" s="1" t="str">
        <f>HYPERLINK("http://продеталь.рф/search.html?article=185276052","185276052")</f>
        <v>185276052</v>
      </c>
      <c r="D6888" t="s">
        <v>4</v>
      </c>
    </row>
    <row r="6889" spans="1:4" outlineLevel="1" x14ac:dyDescent="0.25">
      <c r="A6889" t="s">
        <v>765</v>
      </c>
      <c r="B6889" t="s">
        <v>16</v>
      </c>
      <c r="C6889" s="1" t="str">
        <f>HYPERLINK("http://продеталь.рф/search.html?article=185275052","185275052")</f>
        <v>185275052</v>
      </c>
      <c r="D6889" t="s">
        <v>4</v>
      </c>
    </row>
    <row r="6890" spans="1:4" outlineLevel="1" x14ac:dyDescent="0.25">
      <c r="A6890" t="s">
        <v>765</v>
      </c>
      <c r="B6890" t="s">
        <v>16</v>
      </c>
      <c r="C6890" s="1" t="str">
        <f>HYPERLINK("http://продеталь.рф/search.html?article=183314052","183314052")</f>
        <v>183314052</v>
      </c>
      <c r="D6890" t="s">
        <v>4</v>
      </c>
    </row>
    <row r="6891" spans="1:4" outlineLevel="1" x14ac:dyDescent="0.25">
      <c r="A6891" t="s">
        <v>765</v>
      </c>
      <c r="B6891" t="s">
        <v>16</v>
      </c>
      <c r="C6891" s="1" t="str">
        <f>HYPERLINK("http://продеталь.рф/search.html?article=183313052","183313052")</f>
        <v>183313052</v>
      </c>
      <c r="D6891" t="s">
        <v>4</v>
      </c>
    </row>
    <row r="6892" spans="1:4" outlineLevel="1" x14ac:dyDescent="0.25">
      <c r="A6892" t="s">
        <v>765</v>
      </c>
      <c r="B6892" t="s">
        <v>16</v>
      </c>
      <c r="C6892" s="1" t="str">
        <f>HYPERLINK("http://продеталь.рф/search.html?article=185275022","185275022")</f>
        <v>185275022</v>
      </c>
      <c r="D6892" t="s">
        <v>4</v>
      </c>
    </row>
    <row r="6893" spans="1:4" x14ac:dyDescent="0.25">
      <c r="A6893" t="s">
        <v>766</v>
      </c>
      <c r="B6893" s="2" t="s">
        <v>766</v>
      </c>
      <c r="C6893" s="2"/>
      <c r="D6893" s="2"/>
    </row>
    <row r="6894" spans="1:4" outlineLevel="1" x14ac:dyDescent="0.25">
      <c r="A6894" t="s">
        <v>766</v>
      </c>
      <c r="B6894" t="s">
        <v>11</v>
      </c>
      <c r="C6894" s="1" t="str">
        <f>HYPERLINK("http://продеталь.рф/search.html?article=VW04020BB","VW04020BB")</f>
        <v>VW04020BB</v>
      </c>
      <c r="D6894" t="s">
        <v>2</v>
      </c>
    </row>
    <row r="6895" spans="1:4" outlineLevel="1" x14ac:dyDescent="0.25">
      <c r="A6895" t="s">
        <v>766</v>
      </c>
      <c r="B6895" t="s">
        <v>11</v>
      </c>
      <c r="C6895" s="1" t="str">
        <f>HYPERLINK("http://продеталь.рф/search.html?article=VW04020BA","VW04020BA")</f>
        <v>VW04020BA</v>
      </c>
      <c r="D6895" t="s">
        <v>2</v>
      </c>
    </row>
    <row r="6896" spans="1:4" outlineLevel="1" x14ac:dyDescent="0.25">
      <c r="A6896" t="s">
        <v>766</v>
      </c>
      <c r="B6896" t="s">
        <v>45</v>
      </c>
      <c r="C6896" s="1" t="str">
        <f>HYPERLINK("http://продеталь.рф/search.html?article=9538582","9538582")</f>
        <v>9538582</v>
      </c>
      <c r="D6896" t="s">
        <v>46</v>
      </c>
    </row>
    <row r="6897" spans="1:4" outlineLevel="1" x14ac:dyDescent="0.25">
      <c r="A6897" t="s">
        <v>766</v>
      </c>
      <c r="B6897" t="s">
        <v>45</v>
      </c>
      <c r="C6897" s="1" t="str">
        <f>HYPERLINK("http://продеталь.рф/search.html?article=9538581","9538581")</f>
        <v>9538581</v>
      </c>
      <c r="D6897" t="s">
        <v>46</v>
      </c>
    </row>
    <row r="6898" spans="1:4" outlineLevel="1" x14ac:dyDescent="0.25">
      <c r="A6898" t="s">
        <v>766</v>
      </c>
      <c r="B6898" t="s">
        <v>35</v>
      </c>
      <c r="C6898" s="1" t="str">
        <f>HYPERLINK("http://продеталь.рф/search.html?article=9547346","9547346")</f>
        <v>9547346</v>
      </c>
      <c r="D6898" t="s">
        <v>81</v>
      </c>
    </row>
    <row r="6899" spans="1:4" outlineLevel="1" x14ac:dyDescent="0.25">
      <c r="A6899" t="s">
        <v>766</v>
      </c>
      <c r="B6899" t="s">
        <v>84</v>
      </c>
      <c r="C6899" s="1" t="str">
        <f>HYPERLINK("http://продеталь.рф/search.html?article=VW09000UA2H","VW09000UA2H")</f>
        <v>VW09000UA2H</v>
      </c>
      <c r="D6899" t="s">
        <v>9</v>
      </c>
    </row>
    <row r="6900" spans="1:4" outlineLevel="1" x14ac:dyDescent="0.25">
      <c r="A6900" t="s">
        <v>766</v>
      </c>
      <c r="B6900" t="s">
        <v>84</v>
      </c>
      <c r="C6900" s="1" t="str">
        <f>HYPERLINK("http://продеталь.рф/search.html?article=VW09000UA1H","VW09000UA1H")</f>
        <v>VW09000UA1H</v>
      </c>
      <c r="D6900" t="s">
        <v>9</v>
      </c>
    </row>
    <row r="6901" spans="1:4" outlineLevel="1" x14ac:dyDescent="0.25">
      <c r="A6901" t="s">
        <v>766</v>
      </c>
      <c r="B6901" t="s">
        <v>24</v>
      </c>
      <c r="C6901" s="1" t="str">
        <f>HYPERLINK("http://продеталь.рф/search.html?article=VW10012AL","VW10012AL")</f>
        <v>VW10012AL</v>
      </c>
      <c r="D6901" t="s">
        <v>2</v>
      </c>
    </row>
    <row r="6902" spans="1:4" outlineLevel="1" x14ac:dyDescent="0.25">
      <c r="A6902" t="s">
        <v>766</v>
      </c>
      <c r="B6902" t="s">
        <v>24</v>
      </c>
      <c r="C6902" s="1" t="str">
        <f>HYPERLINK("http://продеталь.рф/search.html?article=VW090161","VW090161")</f>
        <v>VW090161</v>
      </c>
      <c r="D6902" t="s">
        <v>9</v>
      </c>
    </row>
    <row r="6903" spans="1:4" outlineLevel="1" x14ac:dyDescent="0.25">
      <c r="A6903" t="s">
        <v>766</v>
      </c>
      <c r="B6903" t="s">
        <v>147</v>
      </c>
      <c r="C6903" s="1" t="str">
        <f>HYPERLINK("http://продеталь.рф/search.html?article=125084012","125084012")</f>
        <v>125084012</v>
      </c>
      <c r="D6903" t="s">
        <v>4</v>
      </c>
    </row>
    <row r="6904" spans="1:4" outlineLevel="1" x14ac:dyDescent="0.25">
      <c r="A6904" t="s">
        <v>766</v>
      </c>
      <c r="B6904" t="s">
        <v>147</v>
      </c>
      <c r="C6904" s="1" t="str">
        <f>HYPERLINK("http://продеталь.рф/search.html?article=125083012","125083012")</f>
        <v>125083012</v>
      </c>
      <c r="D6904" t="s">
        <v>4</v>
      </c>
    </row>
    <row r="6905" spans="1:4" outlineLevel="1" x14ac:dyDescent="0.25">
      <c r="A6905" t="s">
        <v>766</v>
      </c>
      <c r="B6905" t="s">
        <v>147</v>
      </c>
      <c r="C6905" s="1" t="str">
        <f>HYPERLINK("http://продеталь.рф/search.html?article=125078012","125078012")</f>
        <v>125078012</v>
      </c>
      <c r="D6905" t="s">
        <v>4</v>
      </c>
    </row>
    <row r="6906" spans="1:4" outlineLevel="1" x14ac:dyDescent="0.25">
      <c r="A6906" t="s">
        <v>766</v>
      </c>
      <c r="B6906" t="s">
        <v>147</v>
      </c>
      <c r="C6906" s="1" t="str">
        <f>HYPERLINK("http://продеталь.рф/search.html?article=125077012","125077012")</f>
        <v>125077012</v>
      </c>
      <c r="D6906" t="s">
        <v>4</v>
      </c>
    </row>
    <row r="6907" spans="1:4" outlineLevel="1" x14ac:dyDescent="0.25">
      <c r="A6907" t="s">
        <v>766</v>
      </c>
      <c r="B6907" t="s">
        <v>27</v>
      </c>
      <c r="C6907" s="1" t="str">
        <f>HYPERLINK("http://продеталь.рф/search.html?article=VW090090","VW090090")</f>
        <v>VW090090</v>
      </c>
      <c r="D6907" t="s">
        <v>9</v>
      </c>
    </row>
    <row r="6908" spans="1:4" outlineLevel="1" x14ac:dyDescent="0.25">
      <c r="A6908" t="s">
        <v>766</v>
      </c>
      <c r="B6908" t="s">
        <v>3</v>
      </c>
      <c r="C6908" s="1" t="str">
        <f>HYPERLINK("http://продеталь.рф/search.html?article=203250082","203250082")</f>
        <v>203250082</v>
      </c>
      <c r="D6908" t="s">
        <v>4</v>
      </c>
    </row>
    <row r="6909" spans="1:4" outlineLevel="1" x14ac:dyDescent="0.25">
      <c r="A6909" t="s">
        <v>766</v>
      </c>
      <c r="B6909" t="s">
        <v>3</v>
      </c>
      <c r="C6909" s="1" t="str">
        <f>HYPERLINK("http://продеталь.рф/search.html?article=203249082","203249082")</f>
        <v>203249082</v>
      </c>
      <c r="D6909" t="s">
        <v>4</v>
      </c>
    </row>
    <row r="6910" spans="1:4" outlineLevel="1" x14ac:dyDescent="0.25">
      <c r="A6910" t="s">
        <v>766</v>
      </c>
      <c r="B6910" t="s">
        <v>54</v>
      </c>
      <c r="C6910" s="1" t="str">
        <f>HYPERLINK("http://продеталь.рф/search.html?article=9538011","9538011")</f>
        <v>9538011</v>
      </c>
      <c r="D6910" t="s">
        <v>46</v>
      </c>
    </row>
    <row r="6911" spans="1:4" outlineLevel="1" x14ac:dyDescent="0.25">
      <c r="A6911" t="s">
        <v>766</v>
      </c>
      <c r="B6911" t="s">
        <v>54</v>
      </c>
      <c r="C6911" s="1" t="str">
        <f>HYPERLINK("http://продеталь.рф/search.html?article=9538012","9538012")</f>
        <v>9538012</v>
      </c>
      <c r="D6911" t="s">
        <v>46</v>
      </c>
    </row>
    <row r="6912" spans="1:4" outlineLevel="1" x14ac:dyDescent="0.25">
      <c r="A6912" t="s">
        <v>766</v>
      </c>
      <c r="B6912" t="s">
        <v>19</v>
      </c>
      <c r="C6912" s="1" t="str">
        <f>HYPERLINK("http://продеталь.рф/search.html?article=ZVW2005L","ZVW2005L")</f>
        <v>ZVW2005L</v>
      </c>
      <c r="D6912" t="s">
        <v>6</v>
      </c>
    </row>
    <row r="6913" spans="1:4" outlineLevel="1" x14ac:dyDescent="0.25">
      <c r="A6913" t="s">
        <v>766</v>
      </c>
      <c r="B6913" t="s">
        <v>19</v>
      </c>
      <c r="C6913" s="1" t="str">
        <f>HYPERLINK("http://продеталь.рф/search.html?article=ZVW2005R","ZVW2005R")</f>
        <v>ZVW2005R</v>
      </c>
      <c r="D6913" t="s">
        <v>6</v>
      </c>
    </row>
    <row r="6914" spans="1:4" outlineLevel="1" x14ac:dyDescent="0.25">
      <c r="A6914" t="s">
        <v>766</v>
      </c>
      <c r="B6914" t="s">
        <v>28</v>
      </c>
      <c r="C6914" s="1" t="str">
        <f>HYPERLINK("http://продеталь.рф/search.html?article=RA65251A","RA65251A")</f>
        <v>RA65251A</v>
      </c>
      <c r="D6914" t="s">
        <v>6</v>
      </c>
    </row>
    <row r="6915" spans="1:4" outlineLevel="1" x14ac:dyDescent="0.25">
      <c r="A6915" t="s">
        <v>766</v>
      </c>
      <c r="B6915" t="s">
        <v>28</v>
      </c>
      <c r="C6915" s="1" t="str">
        <f>HYPERLINK("http://продеталь.рф/search.html?article=RA65252","RA65252")</f>
        <v>RA65252</v>
      </c>
      <c r="D6915" t="s">
        <v>6</v>
      </c>
    </row>
    <row r="6916" spans="1:4" outlineLevel="1" x14ac:dyDescent="0.25">
      <c r="A6916" t="s">
        <v>766</v>
      </c>
      <c r="B6916" t="s">
        <v>8</v>
      </c>
      <c r="C6916" s="1" t="str">
        <f>HYPERLINK("http://продеталь.рф/search.html?article=6370005","6370005")</f>
        <v>6370005</v>
      </c>
      <c r="D6916" t="s">
        <v>4</v>
      </c>
    </row>
    <row r="6917" spans="1:4" outlineLevel="1" x14ac:dyDescent="0.25">
      <c r="A6917" t="s">
        <v>766</v>
      </c>
      <c r="B6917" t="s">
        <v>39</v>
      </c>
      <c r="C6917" s="1" t="str">
        <f>HYPERLINK("http://продеталь.рф/search.html?article=AFV115","AFV115")</f>
        <v>AFV115</v>
      </c>
      <c r="D6917" t="s">
        <v>6</v>
      </c>
    </row>
    <row r="6918" spans="1:4" outlineLevel="1" x14ac:dyDescent="0.25">
      <c r="A6918" t="s">
        <v>766</v>
      </c>
      <c r="B6918" t="s">
        <v>40</v>
      </c>
      <c r="C6918" s="1" t="str">
        <f>HYPERLINK("http://продеталь.рф/search.html?article=PVW07967701C","PVW07967701C")</f>
        <v>PVW07967701C</v>
      </c>
      <c r="D6918" t="s">
        <v>2</v>
      </c>
    </row>
    <row r="6919" spans="1:4" outlineLevel="1" x14ac:dyDescent="0.25">
      <c r="A6919" t="s">
        <v>766</v>
      </c>
      <c r="B6919" t="s">
        <v>12</v>
      </c>
      <c r="C6919" s="1" t="str">
        <f>HYPERLINK("http://продеталь.рф/search.html?article=VW090930","VW090930")</f>
        <v>VW090930</v>
      </c>
      <c r="D6919" t="s">
        <v>9</v>
      </c>
    </row>
    <row r="6920" spans="1:4" outlineLevel="1" x14ac:dyDescent="0.25">
      <c r="A6920" t="s">
        <v>766</v>
      </c>
      <c r="B6920" t="s">
        <v>71</v>
      </c>
      <c r="C6920" s="1" t="str">
        <f>HYPERLINK("http://продеталь.рф/search.html?article=PVW02018L","PVW02018L")</f>
        <v>PVW02018L</v>
      </c>
      <c r="D6920" t="s">
        <v>6</v>
      </c>
    </row>
    <row r="6921" spans="1:4" outlineLevel="1" x14ac:dyDescent="0.25">
      <c r="A6921" t="s">
        <v>766</v>
      </c>
      <c r="B6921" t="s">
        <v>71</v>
      </c>
      <c r="C6921" s="1" t="str">
        <f>HYPERLINK("http://продеталь.рф/search.html?article=PVW02018R","PVW02018R")</f>
        <v>PVW02018R</v>
      </c>
      <c r="D6921" t="s">
        <v>6</v>
      </c>
    </row>
    <row r="6922" spans="1:4" outlineLevel="1" x14ac:dyDescent="0.25">
      <c r="A6922" t="s">
        <v>766</v>
      </c>
      <c r="B6922" t="s">
        <v>41</v>
      </c>
      <c r="C6922" s="1" t="str">
        <f>HYPERLINK("http://продеталь.рф/search.html?article=SVW1116L","SVW1116L")</f>
        <v>SVW1116L</v>
      </c>
      <c r="D6922" t="s">
        <v>6</v>
      </c>
    </row>
    <row r="6923" spans="1:4" outlineLevel="1" x14ac:dyDescent="0.25">
      <c r="A6923" t="s">
        <v>766</v>
      </c>
      <c r="B6923" t="s">
        <v>276</v>
      </c>
      <c r="C6923" s="1" t="str">
        <f>HYPERLINK("http://продеталь.рф/search.html?article=SVW2005L","SVW2005L")</f>
        <v>SVW2005L</v>
      </c>
      <c r="D6923" t="s">
        <v>63</v>
      </c>
    </row>
    <row r="6924" spans="1:4" outlineLevel="1" x14ac:dyDescent="0.25">
      <c r="A6924" t="s">
        <v>766</v>
      </c>
      <c r="B6924" t="s">
        <v>496</v>
      </c>
      <c r="C6924" s="1" t="str">
        <f>HYPERLINK("http://продеталь.рф/search.html?article=SVW2005R","SVW2005R")</f>
        <v>SVW2005R</v>
      </c>
      <c r="D6924" t="s">
        <v>63</v>
      </c>
    </row>
    <row r="6925" spans="1:4" outlineLevel="1" x14ac:dyDescent="0.25">
      <c r="A6925" t="s">
        <v>766</v>
      </c>
      <c r="B6925" t="s">
        <v>16</v>
      </c>
      <c r="C6925" s="1" t="str">
        <f>HYPERLINK("http://продеталь.рф/search.html?article=185102016","185102016")</f>
        <v>185102016</v>
      </c>
      <c r="D6925" t="s">
        <v>4</v>
      </c>
    </row>
    <row r="6926" spans="1:4" outlineLevel="1" x14ac:dyDescent="0.25">
      <c r="A6926" t="s">
        <v>766</v>
      </c>
      <c r="B6926" t="s">
        <v>64</v>
      </c>
      <c r="C6926" s="1" t="str">
        <f>HYPERLINK("http://продеталь.рф/search.html?article=125060052","125060052")</f>
        <v>125060052</v>
      </c>
      <c r="D6926" t="s">
        <v>4</v>
      </c>
    </row>
    <row r="6927" spans="1:4" outlineLevel="1" x14ac:dyDescent="0.25">
      <c r="A6927" t="s">
        <v>766</v>
      </c>
      <c r="B6927" t="s">
        <v>64</v>
      </c>
      <c r="C6927" s="1" t="str">
        <f>HYPERLINK("http://продеталь.рф/search.html?article=125059052","125059052")</f>
        <v>125059052</v>
      </c>
      <c r="D6927" t="s">
        <v>4</v>
      </c>
    </row>
    <row r="6928" spans="1:4" outlineLevel="1" x14ac:dyDescent="0.25">
      <c r="A6928" t="s">
        <v>766</v>
      </c>
      <c r="B6928" t="s">
        <v>13</v>
      </c>
      <c r="C6928" s="1" t="str">
        <f>HYPERLINK("http://продеталь.рф/search.html?article=VW04020YA1","VW04020YA1")</f>
        <v>VW04020YA1</v>
      </c>
      <c r="D6928" t="s">
        <v>2</v>
      </c>
    </row>
    <row r="6929" spans="1:4" outlineLevel="1" x14ac:dyDescent="0.25">
      <c r="A6929" t="s">
        <v>766</v>
      </c>
      <c r="B6929" t="s">
        <v>767</v>
      </c>
      <c r="C6929" s="1" t="str">
        <f>HYPERLINK("http://продеталь.рф/search.html?article=8XU006946041","8XU006946041")</f>
        <v>8XU006946041</v>
      </c>
      <c r="D6929" t="s">
        <v>43</v>
      </c>
    </row>
    <row r="6930" spans="1:4" x14ac:dyDescent="0.25">
      <c r="A6930" t="s">
        <v>768</v>
      </c>
      <c r="B6930" s="2" t="s">
        <v>768</v>
      </c>
      <c r="C6930" s="2"/>
      <c r="D6930" s="2"/>
    </row>
    <row r="6931" spans="1:4" outlineLevel="1" x14ac:dyDescent="0.25">
      <c r="A6931" t="s">
        <v>768</v>
      </c>
      <c r="B6931" t="s">
        <v>11</v>
      </c>
      <c r="C6931" s="1" t="str">
        <f>HYPERLINK("http://продеталь.рф/search.html?article=VW04032BA","VW04032BA")</f>
        <v>VW04032BA</v>
      </c>
      <c r="D6931" t="s">
        <v>2</v>
      </c>
    </row>
    <row r="6932" spans="1:4" outlineLevel="1" x14ac:dyDescent="0.25">
      <c r="A6932" t="s">
        <v>768</v>
      </c>
      <c r="B6932" t="s">
        <v>15</v>
      </c>
      <c r="C6932" s="1" t="str">
        <f>HYPERLINK("http://продеталь.рф/search.html?article=3370039","3370039")</f>
        <v>3370039</v>
      </c>
      <c r="D6932" t="s">
        <v>4</v>
      </c>
    </row>
    <row r="6933" spans="1:4" outlineLevel="1" x14ac:dyDescent="0.25">
      <c r="A6933" t="s">
        <v>768</v>
      </c>
      <c r="B6933" t="s">
        <v>15</v>
      </c>
      <c r="C6933" s="1" t="str">
        <f>HYPERLINK("http://продеталь.рф/search.html?article=3370040","3370040")</f>
        <v>3370040</v>
      </c>
      <c r="D6933" t="s">
        <v>4</v>
      </c>
    </row>
    <row r="6934" spans="1:4" outlineLevel="1" x14ac:dyDescent="0.25">
      <c r="A6934" t="s">
        <v>768</v>
      </c>
      <c r="B6934" t="s">
        <v>59</v>
      </c>
      <c r="C6934" s="1" t="str">
        <f>HYPERLINK("http://продеталь.рф/search.html?article=35062","35062")</f>
        <v>35062</v>
      </c>
      <c r="D6934" t="s">
        <v>163</v>
      </c>
    </row>
    <row r="6935" spans="1:4" outlineLevel="1" x14ac:dyDescent="0.25">
      <c r="A6935" t="s">
        <v>768</v>
      </c>
      <c r="B6935" t="s">
        <v>23</v>
      </c>
      <c r="C6935" s="1" t="str">
        <f>HYPERLINK("http://продеталь.рф/search.html?article=110206012","110206012")</f>
        <v>110206012</v>
      </c>
      <c r="D6935" t="s">
        <v>4</v>
      </c>
    </row>
    <row r="6936" spans="1:4" outlineLevel="1" x14ac:dyDescent="0.25">
      <c r="A6936" t="s">
        <v>768</v>
      </c>
      <c r="B6936" t="s">
        <v>35</v>
      </c>
      <c r="C6936" s="1" t="str">
        <f>HYPERLINK("http://продеталь.рф/search.html?article=310102","310102")</f>
        <v>310102</v>
      </c>
      <c r="D6936" t="s">
        <v>21</v>
      </c>
    </row>
    <row r="6937" spans="1:4" outlineLevel="1" x14ac:dyDescent="0.25">
      <c r="A6937" t="s">
        <v>768</v>
      </c>
      <c r="B6937" t="s">
        <v>1</v>
      </c>
      <c r="C6937" s="1" t="str">
        <f>HYPERLINK("http://продеталь.рф/search.html?article=PVW20022AK","PVW20022AK")</f>
        <v>PVW20022AK</v>
      </c>
      <c r="D6937" t="s">
        <v>6</v>
      </c>
    </row>
    <row r="6938" spans="1:4" outlineLevel="1" x14ac:dyDescent="0.25">
      <c r="A6938" t="s">
        <v>768</v>
      </c>
      <c r="B6938" t="s">
        <v>84</v>
      </c>
      <c r="C6938" s="1" t="str">
        <f>HYPERLINK("http://продеталь.рф/search.html?article=VW46026AL","VW46026AL")</f>
        <v>VW46026AL</v>
      </c>
      <c r="D6938" t="s">
        <v>2</v>
      </c>
    </row>
    <row r="6939" spans="1:4" outlineLevel="1" x14ac:dyDescent="0.25">
      <c r="A6939" t="s">
        <v>768</v>
      </c>
      <c r="B6939" t="s">
        <v>84</v>
      </c>
      <c r="C6939" s="1" t="str">
        <f>HYPERLINK("http://продеталь.рф/search.html?article=VW46026AR","VW46026AR")</f>
        <v>VW46026AR</v>
      </c>
      <c r="D6939" t="s">
        <v>2</v>
      </c>
    </row>
    <row r="6940" spans="1:4" outlineLevel="1" x14ac:dyDescent="0.25">
      <c r="A6940" t="s">
        <v>768</v>
      </c>
      <c r="B6940" t="s">
        <v>24</v>
      </c>
      <c r="C6940" s="1" t="str">
        <f>HYPERLINK("http://продеталь.рф/search.html?article=VWA60162","VWA60162")</f>
        <v>VWA60162</v>
      </c>
      <c r="D6940" t="s">
        <v>9</v>
      </c>
    </row>
    <row r="6941" spans="1:4" outlineLevel="1" x14ac:dyDescent="0.25">
      <c r="A6941" t="s">
        <v>768</v>
      </c>
      <c r="B6941" t="s">
        <v>24</v>
      </c>
      <c r="C6941" s="1" t="str">
        <f>HYPERLINK("http://продеталь.рф/search.html?article=VWA60161","VWA60161")</f>
        <v>VWA60161</v>
      </c>
      <c r="D6941" t="s">
        <v>9</v>
      </c>
    </row>
    <row r="6942" spans="1:4" outlineLevel="1" x14ac:dyDescent="0.25">
      <c r="A6942" t="s">
        <v>768</v>
      </c>
      <c r="B6942" t="s">
        <v>268</v>
      </c>
      <c r="C6942" s="1" t="str">
        <f>HYPERLINK("http://продеталь.рф/search.html?article=PVW99911B","PVW99911B")</f>
        <v>PVW99911B</v>
      </c>
      <c r="D6942" t="s">
        <v>6</v>
      </c>
    </row>
    <row r="6943" spans="1:4" outlineLevel="1" x14ac:dyDescent="0.25">
      <c r="A6943" t="s">
        <v>768</v>
      </c>
      <c r="B6943" t="s">
        <v>37</v>
      </c>
      <c r="C6943" s="1" t="str">
        <f>HYPERLINK("http://продеталь.рф/search.html?article=0906252","0906252")</f>
        <v>0906252</v>
      </c>
      <c r="D6943" t="s">
        <v>58</v>
      </c>
    </row>
    <row r="6944" spans="1:4" outlineLevel="1" x14ac:dyDescent="0.25">
      <c r="A6944" t="s">
        <v>768</v>
      </c>
      <c r="B6944" t="s">
        <v>37</v>
      </c>
      <c r="C6944" s="1" t="str">
        <f>HYPERLINK("http://продеталь.рф/search.html?article=0906251","0906251")</f>
        <v>0906251</v>
      </c>
      <c r="D6944" t="s">
        <v>58</v>
      </c>
    </row>
    <row r="6945" spans="1:4" outlineLevel="1" x14ac:dyDescent="0.25">
      <c r="A6945" t="s">
        <v>768</v>
      </c>
      <c r="B6945" t="s">
        <v>37</v>
      </c>
      <c r="C6945" s="1" t="str">
        <f>HYPERLINK("http://продеталь.рф/search.html?article=0906254","0906254")</f>
        <v>0906254</v>
      </c>
      <c r="D6945" t="s">
        <v>58</v>
      </c>
    </row>
    <row r="6946" spans="1:4" outlineLevel="1" x14ac:dyDescent="0.25">
      <c r="A6946" t="s">
        <v>768</v>
      </c>
      <c r="B6946" t="s">
        <v>26</v>
      </c>
      <c r="C6946" s="1" t="str">
        <f>HYPERLINK("http://продеталь.рф/search.html?article=35060","35060")</f>
        <v>35060</v>
      </c>
      <c r="D6946" t="s">
        <v>163</v>
      </c>
    </row>
    <row r="6947" spans="1:4" outlineLevel="1" x14ac:dyDescent="0.25">
      <c r="A6947" t="s">
        <v>768</v>
      </c>
      <c r="B6947" t="s">
        <v>26</v>
      </c>
      <c r="C6947" s="1" t="str">
        <f>HYPERLINK("http://продеталь.рф/search.html?article=35061","35061")</f>
        <v>35061</v>
      </c>
      <c r="D6947" t="s">
        <v>163</v>
      </c>
    </row>
    <row r="6948" spans="1:4" outlineLevel="1" x14ac:dyDescent="0.25">
      <c r="A6948" t="s">
        <v>768</v>
      </c>
      <c r="B6948" t="s">
        <v>27</v>
      </c>
      <c r="C6948" s="1" t="str">
        <f>HYPERLINK("http://продеталь.рф/search.html?article=VWA60090","VWA60090")</f>
        <v>VWA60090</v>
      </c>
      <c r="D6948" t="s">
        <v>9</v>
      </c>
    </row>
    <row r="6949" spans="1:4" outlineLevel="1" x14ac:dyDescent="0.25">
      <c r="A6949" t="s">
        <v>768</v>
      </c>
      <c r="B6949" t="s">
        <v>3</v>
      </c>
      <c r="C6949" s="1" t="str">
        <f>HYPERLINK("http://продеталь.рф/search.html?article=205080082","205080082")</f>
        <v>205080082</v>
      </c>
      <c r="D6949" t="s">
        <v>4</v>
      </c>
    </row>
    <row r="6950" spans="1:4" outlineLevel="1" x14ac:dyDescent="0.25">
      <c r="A6950" t="s">
        <v>768</v>
      </c>
      <c r="B6950" t="s">
        <v>3</v>
      </c>
      <c r="C6950" s="1" t="str">
        <f>HYPERLINK("http://продеталь.рф/search.html?article=205079082","205079082")</f>
        <v>205079082</v>
      </c>
      <c r="D6950" t="s">
        <v>4</v>
      </c>
    </row>
    <row r="6951" spans="1:4" outlineLevel="1" x14ac:dyDescent="0.25">
      <c r="A6951" t="s">
        <v>768</v>
      </c>
      <c r="B6951" t="s">
        <v>3</v>
      </c>
      <c r="C6951" s="1" t="str">
        <f>HYPERLINK("http://продеталь.рф/search.html?article=ZVW1125KR","ZVW1125KR")</f>
        <v>ZVW1125KR</v>
      </c>
      <c r="D6951" t="s">
        <v>6</v>
      </c>
    </row>
    <row r="6952" spans="1:4" outlineLevel="1" x14ac:dyDescent="0.25">
      <c r="A6952" t="s">
        <v>768</v>
      </c>
      <c r="B6952" t="s">
        <v>3</v>
      </c>
      <c r="C6952" s="1" t="str">
        <f>HYPERLINK("http://продеталь.рф/search.html?article=20B144052B","20B144052B")</f>
        <v>20B144052B</v>
      </c>
      <c r="D6952" t="s">
        <v>4</v>
      </c>
    </row>
    <row r="6953" spans="1:4" outlineLevel="1" x14ac:dyDescent="0.25">
      <c r="A6953" t="s">
        <v>768</v>
      </c>
      <c r="B6953" t="s">
        <v>3</v>
      </c>
      <c r="C6953" s="1" t="str">
        <f>HYPERLINK("http://продеталь.рф/search.html?article=20B143052B","20B143052B")</f>
        <v>20B143052B</v>
      </c>
      <c r="D6953" t="s">
        <v>4</v>
      </c>
    </row>
    <row r="6954" spans="1:4" outlineLevel="1" x14ac:dyDescent="0.25">
      <c r="A6954" t="s">
        <v>768</v>
      </c>
      <c r="B6954" t="s">
        <v>769</v>
      </c>
      <c r="C6954" s="1" t="str">
        <f>HYPERLINK("http://продеталь.рф/search.html?article=PVW99007AK","PVW99007AK")</f>
        <v>PVW99007AK</v>
      </c>
      <c r="D6954" t="s">
        <v>6</v>
      </c>
    </row>
    <row r="6955" spans="1:4" outlineLevel="1" x14ac:dyDescent="0.25">
      <c r="A6955" t="s">
        <v>768</v>
      </c>
      <c r="B6955" t="s">
        <v>5</v>
      </c>
      <c r="C6955" s="1" t="str">
        <f>HYPERLINK("http://продеталь.рф/search.html?article=211921","211921")</f>
        <v>211921</v>
      </c>
      <c r="D6955" t="s">
        <v>21</v>
      </c>
    </row>
    <row r="6956" spans="1:4" outlineLevel="1" x14ac:dyDescent="0.25">
      <c r="A6956" t="s">
        <v>768</v>
      </c>
      <c r="B6956" t="s">
        <v>5</v>
      </c>
      <c r="C6956" s="1" t="str">
        <f>HYPERLINK("http://продеталь.рф/search.html?article=211922","211922")</f>
        <v>211922</v>
      </c>
      <c r="D6956" t="s">
        <v>21</v>
      </c>
    </row>
    <row r="6957" spans="1:4" outlineLevel="1" x14ac:dyDescent="0.25">
      <c r="A6957" t="s">
        <v>768</v>
      </c>
      <c r="B6957" t="s">
        <v>39</v>
      </c>
      <c r="C6957" s="1" t="str">
        <f>HYPERLINK("http://продеталь.рф/search.html?article=AFV125","AFV125")</f>
        <v>AFV125</v>
      </c>
      <c r="D6957" t="s">
        <v>6</v>
      </c>
    </row>
    <row r="6958" spans="1:4" outlineLevel="1" x14ac:dyDescent="0.25">
      <c r="A6958" t="s">
        <v>768</v>
      </c>
      <c r="B6958" t="s">
        <v>40</v>
      </c>
      <c r="C6958" s="1" t="str">
        <f>HYPERLINK("http://продеталь.рф/search.html?article=VWA6000G2","VWA6000G2")</f>
        <v>VWA6000G2</v>
      </c>
      <c r="D6958" t="s">
        <v>9</v>
      </c>
    </row>
    <row r="6959" spans="1:4" outlineLevel="1" x14ac:dyDescent="0.25">
      <c r="A6959" t="s">
        <v>768</v>
      </c>
      <c r="B6959" t="s">
        <v>40</v>
      </c>
      <c r="C6959" s="1" t="str">
        <f>HYPERLINK("http://продеталь.рф/search.html?article=VWA6000G1","VWA6000G1")</f>
        <v>VWA6000G1</v>
      </c>
      <c r="D6959" t="s">
        <v>9</v>
      </c>
    </row>
    <row r="6960" spans="1:4" outlineLevel="1" x14ac:dyDescent="0.25">
      <c r="A6960" t="s">
        <v>768</v>
      </c>
      <c r="B6960" t="s">
        <v>12</v>
      </c>
      <c r="C6960" s="1" t="str">
        <f>HYPERLINK("http://продеталь.рф/search.html?article=VW07024GA","VW07024GA")</f>
        <v>VW07024GA</v>
      </c>
      <c r="D6960" t="s">
        <v>2</v>
      </c>
    </row>
    <row r="6961" spans="1:4" outlineLevel="1" x14ac:dyDescent="0.25">
      <c r="A6961" t="s">
        <v>768</v>
      </c>
      <c r="B6961" t="s">
        <v>71</v>
      </c>
      <c r="C6961" s="1" t="str">
        <f>HYPERLINK("http://продеталь.рф/search.html?article=PVW02006SA","PVW02006SA")</f>
        <v>PVW02006SA</v>
      </c>
      <c r="D6961" t="s">
        <v>6</v>
      </c>
    </row>
    <row r="6962" spans="1:4" outlineLevel="1" x14ac:dyDescent="0.25">
      <c r="A6962" t="s">
        <v>768</v>
      </c>
      <c r="B6962" t="s">
        <v>71</v>
      </c>
      <c r="C6962" s="1" t="str">
        <f>HYPERLINK("http://продеталь.рф/search.html?article=VWA60130","VWA60130")</f>
        <v>VWA60130</v>
      </c>
      <c r="D6962" t="s">
        <v>9</v>
      </c>
    </row>
    <row r="6963" spans="1:4" outlineLevel="1" x14ac:dyDescent="0.25">
      <c r="A6963" t="s">
        <v>768</v>
      </c>
      <c r="B6963" t="s">
        <v>16</v>
      </c>
      <c r="C6963" s="1" t="str">
        <f>HYPERLINK("http://продеталь.рф/search.html?article=185104152","185104152")</f>
        <v>185104152</v>
      </c>
      <c r="D6963" t="s">
        <v>4</v>
      </c>
    </row>
    <row r="6964" spans="1:4" outlineLevel="1" x14ac:dyDescent="0.25">
      <c r="A6964" t="s">
        <v>768</v>
      </c>
      <c r="B6964" t="s">
        <v>16</v>
      </c>
      <c r="C6964" s="1" t="str">
        <f>HYPERLINK("http://продеталь.рф/search.html?article=185103152","185103152")</f>
        <v>185103152</v>
      </c>
      <c r="D6964" t="s">
        <v>4</v>
      </c>
    </row>
    <row r="6965" spans="1:4" outlineLevel="1" x14ac:dyDescent="0.25">
      <c r="A6965" t="s">
        <v>768</v>
      </c>
      <c r="B6965" t="s">
        <v>16</v>
      </c>
      <c r="C6965" s="1" t="str">
        <f>HYPERLINK("http://продеталь.рф/search.html?article=185104052","185104052")</f>
        <v>185104052</v>
      </c>
      <c r="D6965" t="s">
        <v>4</v>
      </c>
    </row>
    <row r="6966" spans="1:4" outlineLevel="1" x14ac:dyDescent="0.25">
      <c r="A6966" t="s">
        <v>768</v>
      </c>
      <c r="B6966" t="s">
        <v>16</v>
      </c>
      <c r="C6966" s="1" t="str">
        <f>HYPERLINK("http://продеталь.рф/search.html?article=185103052","185103052")</f>
        <v>185103052</v>
      </c>
      <c r="D6966" t="s">
        <v>4</v>
      </c>
    </row>
    <row r="6967" spans="1:4" outlineLevel="1" x14ac:dyDescent="0.25">
      <c r="A6967" t="s">
        <v>768</v>
      </c>
      <c r="B6967" t="s">
        <v>16</v>
      </c>
      <c r="C6967" s="1" t="str">
        <f>HYPERLINK("http://продеталь.рф/search.html?article=ZVW1516CR","ZVW1516CR")</f>
        <v>ZVW1516CR</v>
      </c>
      <c r="D6967" t="s">
        <v>6</v>
      </c>
    </row>
    <row r="6968" spans="1:4" outlineLevel="1" x14ac:dyDescent="0.25">
      <c r="A6968" t="s">
        <v>768</v>
      </c>
      <c r="B6968" t="s">
        <v>75</v>
      </c>
      <c r="C6968" s="1" t="str">
        <f>HYPERLINK("http://продеталь.рф/search.html?article=185235252","185235252")</f>
        <v>185235252</v>
      </c>
      <c r="D6968" t="s">
        <v>4</v>
      </c>
    </row>
    <row r="6969" spans="1:4" outlineLevel="1" x14ac:dyDescent="0.25">
      <c r="A6969" t="s">
        <v>768</v>
      </c>
      <c r="B6969" t="s">
        <v>75</v>
      </c>
      <c r="C6969" s="1" t="str">
        <f>HYPERLINK("http://продеталь.рф/search.html?article=185235052","185235052")</f>
        <v>185235052</v>
      </c>
      <c r="D6969" t="s">
        <v>4</v>
      </c>
    </row>
    <row r="6970" spans="1:4" outlineLevel="1" x14ac:dyDescent="0.25">
      <c r="A6970" t="s">
        <v>768</v>
      </c>
      <c r="B6970" t="s">
        <v>75</v>
      </c>
      <c r="C6970" s="1" t="str">
        <f>HYPERLINK("http://продеталь.рф/search.html?article=185235152","185235152")</f>
        <v>185235152</v>
      </c>
      <c r="D6970" t="s">
        <v>4</v>
      </c>
    </row>
    <row r="6971" spans="1:4" x14ac:dyDescent="0.25">
      <c r="A6971" t="s">
        <v>770</v>
      </c>
      <c r="B6971" s="2" t="s">
        <v>770</v>
      </c>
      <c r="C6971" s="2"/>
      <c r="D6971" s="2"/>
    </row>
    <row r="6972" spans="1:4" outlineLevel="1" x14ac:dyDescent="0.25">
      <c r="A6972" t="s">
        <v>770</v>
      </c>
      <c r="B6972" t="s">
        <v>11</v>
      </c>
      <c r="C6972" s="1" t="str">
        <f>HYPERLINK("http://продеталь.рф/search.html?article=0928112","0928112")</f>
        <v>0928112</v>
      </c>
      <c r="D6972" t="s">
        <v>58</v>
      </c>
    </row>
    <row r="6973" spans="1:4" outlineLevel="1" x14ac:dyDescent="0.25">
      <c r="A6973" t="s">
        <v>770</v>
      </c>
      <c r="B6973" t="s">
        <v>15</v>
      </c>
      <c r="C6973" s="1" t="str">
        <f>HYPERLINK("http://продеталь.рф/search.html?article=3370112","3370112")</f>
        <v>3370112</v>
      </c>
      <c r="D6973" t="s">
        <v>4</v>
      </c>
    </row>
    <row r="6974" spans="1:4" outlineLevel="1" x14ac:dyDescent="0.25">
      <c r="A6974" t="s">
        <v>770</v>
      </c>
      <c r="B6974" t="s">
        <v>15</v>
      </c>
      <c r="C6974" s="1" t="str">
        <f>HYPERLINK("http://продеталь.рф/search.html?article=3370111","3370111")</f>
        <v>3370111</v>
      </c>
      <c r="D6974" t="s">
        <v>4</v>
      </c>
    </row>
    <row r="6975" spans="1:4" outlineLevel="1" x14ac:dyDescent="0.25">
      <c r="A6975" t="s">
        <v>770</v>
      </c>
      <c r="B6975" t="s">
        <v>771</v>
      </c>
      <c r="C6975" s="1" t="str">
        <f>HYPERLINK("http://продеталь.рф/search.html?article=PVW99911A","PVW99911A")</f>
        <v>PVW99911A</v>
      </c>
      <c r="D6975" t="s">
        <v>6</v>
      </c>
    </row>
    <row r="6976" spans="1:4" outlineLevel="1" x14ac:dyDescent="0.25">
      <c r="A6976" t="s">
        <v>770</v>
      </c>
      <c r="B6976" t="s">
        <v>23</v>
      </c>
      <c r="C6976" s="1" t="str">
        <f>HYPERLINK("http://продеталь.рф/search.html?article=110168052","110168052")</f>
        <v>110168052</v>
      </c>
      <c r="D6976" t="s">
        <v>4</v>
      </c>
    </row>
    <row r="6977" spans="1:4" outlineLevel="1" x14ac:dyDescent="0.25">
      <c r="A6977" t="s">
        <v>770</v>
      </c>
      <c r="B6977" t="s">
        <v>23</v>
      </c>
      <c r="C6977" s="1" t="str">
        <f>HYPERLINK("http://продеталь.рф/search.html?article=110210012","110210012")</f>
        <v>110210012</v>
      </c>
      <c r="D6977" t="s">
        <v>4</v>
      </c>
    </row>
    <row r="6978" spans="1:4" outlineLevel="1" x14ac:dyDescent="0.25">
      <c r="A6978" t="s">
        <v>770</v>
      </c>
      <c r="B6978" t="s">
        <v>23</v>
      </c>
      <c r="C6978" s="1" t="str">
        <f>HYPERLINK("http://продеталь.рф/search.html?article=110209012","110209012")</f>
        <v>110209012</v>
      </c>
      <c r="D6978" t="s">
        <v>4</v>
      </c>
    </row>
    <row r="6979" spans="1:4" outlineLevel="1" x14ac:dyDescent="0.25">
      <c r="A6979" t="s">
        <v>770</v>
      </c>
      <c r="B6979" t="s">
        <v>77</v>
      </c>
      <c r="C6979" s="1" t="str">
        <f>HYPERLINK("http://продеталь.рф/search.html?article=RI9673196680","RI9673196680")</f>
        <v>RI9673196680</v>
      </c>
      <c r="D6979" t="s">
        <v>6</v>
      </c>
    </row>
    <row r="6980" spans="1:4" outlineLevel="1" x14ac:dyDescent="0.25">
      <c r="A6980" t="s">
        <v>770</v>
      </c>
      <c r="B6980" t="s">
        <v>24</v>
      </c>
      <c r="C6980" s="1" t="str">
        <f>HYPERLINK("http://продеталь.рф/search.html?article=VWA70162","VWA70162")</f>
        <v>VWA70162</v>
      </c>
      <c r="D6980" t="s">
        <v>9</v>
      </c>
    </row>
    <row r="6981" spans="1:4" outlineLevel="1" x14ac:dyDescent="0.25">
      <c r="A6981" t="s">
        <v>770</v>
      </c>
      <c r="B6981" t="s">
        <v>24</v>
      </c>
      <c r="C6981" s="1" t="str">
        <f>HYPERLINK("http://продеталь.рф/search.html?article=VWA70161","VWA70161")</f>
        <v>VWA70161</v>
      </c>
      <c r="D6981" t="s">
        <v>9</v>
      </c>
    </row>
    <row r="6982" spans="1:4" outlineLevel="1" x14ac:dyDescent="0.25">
      <c r="A6982" t="s">
        <v>770</v>
      </c>
      <c r="B6982" t="s">
        <v>26</v>
      </c>
      <c r="C6982" s="1" t="str">
        <f>HYPERLINK("http://продеталь.рф/search.html?article=VW04064MBL","VW04064MBL")</f>
        <v>VW04064MBL</v>
      </c>
      <c r="D6982" t="s">
        <v>2</v>
      </c>
    </row>
    <row r="6983" spans="1:4" outlineLevel="1" x14ac:dyDescent="0.25">
      <c r="A6983" t="s">
        <v>770</v>
      </c>
      <c r="B6983" t="s">
        <v>27</v>
      </c>
      <c r="C6983" s="1" t="str">
        <f>HYPERLINK("http://продеталь.рф/search.html?article=VWA7009A0","VWA7009A0")</f>
        <v>VWA7009A0</v>
      </c>
      <c r="D6983" t="s">
        <v>9</v>
      </c>
    </row>
    <row r="6984" spans="1:4" outlineLevel="1" x14ac:dyDescent="0.25">
      <c r="A6984" t="s">
        <v>770</v>
      </c>
      <c r="B6984" t="s">
        <v>3</v>
      </c>
      <c r="C6984" s="1" t="str">
        <f>HYPERLINK("http://продеталь.рф/search.html?article=206243052","206243052")</f>
        <v>206243052</v>
      </c>
      <c r="D6984" t="s">
        <v>4</v>
      </c>
    </row>
    <row r="6985" spans="1:4" outlineLevel="1" x14ac:dyDescent="0.25">
      <c r="A6985" t="s">
        <v>770</v>
      </c>
      <c r="B6985" t="s">
        <v>3</v>
      </c>
      <c r="C6985" s="1" t="str">
        <f>HYPERLINK("http://продеталь.рф/search.html?article=206244052","206244052")</f>
        <v>206244052</v>
      </c>
      <c r="D6985" t="s">
        <v>4</v>
      </c>
    </row>
    <row r="6986" spans="1:4" outlineLevel="1" x14ac:dyDescent="0.25">
      <c r="A6986" t="s">
        <v>770</v>
      </c>
      <c r="B6986" t="s">
        <v>5</v>
      </c>
      <c r="C6986" s="1" t="str">
        <f>HYPERLINK("http://продеталь.рф/search.html?article=211937","211937")</f>
        <v>211937</v>
      </c>
      <c r="D6986" t="s">
        <v>21</v>
      </c>
    </row>
    <row r="6987" spans="1:4" outlineLevel="1" x14ac:dyDescent="0.25">
      <c r="A6987" t="s">
        <v>770</v>
      </c>
      <c r="B6987" t="s">
        <v>5</v>
      </c>
      <c r="C6987" s="1" t="str">
        <f>HYPERLINK("http://продеталь.рф/search.html?article=211938","211938")</f>
        <v>211938</v>
      </c>
      <c r="D6987" t="s">
        <v>21</v>
      </c>
    </row>
    <row r="6988" spans="1:4" outlineLevel="1" x14ac:dyDescent="0.25">
      <c r="A6988" t="s">
        <v>770</v>
      </c>
      <c r="B6988" t="s">
        <v>19</v>
      </c>
      <c r="C6988" s="1" t="str">
        <f>HYPERLINK("http://продеталь.рф/search.html?article=VW2016KR","VW2016KR")</f>
        <v>VW2016KR</v>
      </c>
      <c r="D6988" t="s">
        <v>6</v>
      </c>
    </row>
    <row r="6989" spans="1:4" outlineLevel="1" x14ac:dyDescent="0.25">
      <c r="A6989" t="s">
        <v>770</v>
      </c>
      <c r="B6989" t="s">
        <v>8</v>
      </c>
      <c r="C6989" s="1" t="str">
        <f>HYPERLINK("http://продеталь.рф/search.html?article=VWA73940","VWA73940")</f>
        <v>VWA73940</v>
      </c>
      <c r="D6989" t="s">
        <v>9</v>
      </c>
    </row>
    <row r="6990" spans="1:4" outlineLevel="1" x14ac:dyDescent="0.25">
      <c r="A6990" t="s">
        <v>770</v>
      </c>
      <c r="B6990" t="s">
        <v>39</v>
      </c>
      <c r="C6990" s="1" t="str">
        <f>HYPERLINK("http://продеталь.рф/search.html?article=AFV114","AFV114")</f>
        <v>AFV114</v>
      </c>
      <c r="D6990" t="s">
        <v>6</v>
      </c>
    </row>
    <row r="6991" spans="1:4" outlineLevel="1" x14ac:dyDescent="0.25">
      <c r="A6991" t="s">
        <v>770</v>
      </c>
      <c r="B6991" t="s">
        <v>39</v>
      </c>
      <c r="C6991" s="1" t="str">
        <f>HYPERLINK("http://продеталь.рф/search.html?article=AFV117","AFV117")</f>
        <v>AFV117</v>
      </c>
      <c r="D6991" t="s">
        <v>6</v>
      </c>
    </row>
    <row r="6992" spans="1:4" outlineLevel="1" x14ac:dyDescent="0.25">
      <c r="A6992" t="s">
        <v>770</v>
      </c>
      <c r="B6992" t="s">
        <v>40</v>
      </c>
      <c r="C6992" s="1" t="str">
        <f>HYPERLINK("http://продеталь.рф/search.html?article=VW99024CAL","VW99024CAL")</f>
        <v>VW99024CAL</v>
      </c>
      <c r="D6992" t="s">
        <v>2</v>
      </c>
    </row>
    <row r="6993" spans="1:4" outlineLevel="1" x14ac:dyDescent="0.25">
      <c r="A6993" t="s">
        <v>770</v>
      </c>
      <c r="B6993" t="s">
        <v>40</v>
      </c>
      <c r="C6993" s="1" t="str">
        <f>HYPERLINK("http://продеталь.рф/search.html?article=VW99024CAR","VW99024CAR")</f>
        <v>VW99024CAR</v>
      </c>
      <c r="D6993" t="s">
        <v>2</v>
      </c>
    </row>
    <row r="6994" spans="1:4" outlineLevel="1" x14ac:dyDescent="0.25">
      <c r="A6994" t="s">
        <v>770</v>
      </c>
      <c r="B6994" t="s">
        <v>40</v>
      </c>
      <c r="C6994" s="1" t="str">
        <f>HYPERLINK("http://продеталь.рф/search.html?article=VWA7000G0","VWA7000G0")</f>
        <v>VWA7000G0</v>
      </c>
      <c r="D6994" t="s">
        <v>9</v>
      </c>
    </row>
    <row r="6995" spans="1:4" outlineLevel="1" x14ac:dyDescent="0.25">
      <c r="A6995" t="s">
        <v>770</v>
      </c>
      <c r="B6995" t="s">
        <v>40</v>
      </c>
      <c r="C6995" s="1" t="str">
        <f>HYPERLINK("http://продеталь.рф/search.html?article=242916","242916")</f>
        <v>242916</v>
      </c>
      <c r="D6995" t="s">
        <v>58</v>
      </c>
    </row>
    <row r="6996" spans="1:4" outlineLevel="1" x14ac:dyDescent="0.25">
      <c r="A6996" t="s">
        <v>770</v>
      </c>
      <c r="B6996" t="s">
        <v>40</v>
      </c>
      <c r="C6996" s="1" t="str">
        <f>HYPERLINK("http://продеталь.рф/search.html?article=242915","242915")</f>
        <v>242915</v>
      </c>
      <c r="D6996" t="s">
        <v>61</v>
      </c>
    </row>
    <row r="6997" spans="1:4" outlineLevel="1" x14ac:dyDescent="0.25">
      <c r="A6997" t="s">
        <v>770</v>
      </c>
      <c r="B6997" t="s">
        <v>40</v>
      </c>
      <c r="C6997" s="1" t="str">
        <f>HYPERLINK("http://продеталь.рф/search.html?article=0928719","0928719")</f>
        <v>0928719</v>
      </c>
      <c r="D6997" t="s">
        <v>58</v>
      </c>
    </row>
    <row r="6998" spans="1:4" outlineLevel="1" x14ac:dyDescent="0.25">
      <c r="A6998" t="s">
        <v>770</v>
      </c>
      <c r="B6998" t="s">
        <v>12</v>
      </c>
      <c r="C6998" s="1" t="str">
        <f>HYPERLINK("http://продеталь.рф/search.html?article=VW07044GA","VW07044GA")</f>
        <v>VW07044GA</v>
      </c>
      <c r="D6998" t="s">
        <v>2</v>
      </c>
    </row>
    <row r="6999" spans="1:4" outlineLevel="1" x14ac:dyDescent="0.25">
      <c r="A6999" t="s">
        <v>770</v>
      </c>
      <c r="B6999" t="s">
        <v>71</v>
      </c>
      <c r="C6999" s="1" t="str">
        <f>HYPERLINK("http://продеталь.рф/search.html?article=PVW02014SA","PVW02014SA")</f>
        <v>PVW02014SA</v>
      </c>
      <c r="D6999" t="s">
        <v>6</v>
      </c>
    </row>
    <row r="7000" spans="1:4" outlineLevel="1" x14ac:dyDescent="0.25">
      <c r="A7000" t="s">
        <v>770</v>
      </c>
      <c r="B7000" t="s">
        <v>75</v>
      </c>
      <c r="C7000" s="1" t="str">
        <f>HYPERLINK("http://продеталь.рф/search.html?article=180237059","180237059")</f>
        <v>180237059</v>
      </c>
      <c r="D7000" t="s">
        <v>4</v>
      </c>
    </row>
    <row r="7001" spans="1:4" outlineLevel="1" x14ac:dyDescent="0.25">
      <c r="A7001" t="s">
        <v>770</v>
      </c>
      <c r="B7001" t="s">
        <v>119</v>
      </c>
      <c r="C7001" s="1" t="str">
        <f>HYPERLINK("http://продеталь.рф/search.html?article=VW47001AL","VW47001AL")</f>
        <v>VW47001AL</v>
      </c>
      <c r="D7001" t="s">
        <v>2</v>
      </c>
    </row>
    <row r="7002" spans="1:4" outlineLevel="1" x14ac:dyDescent="0.25">
      <c r="A7002" t="s">
        <v>770</v>
      </c>
      <c r="B7002" t="s">
        <v>119</v>
      </c>
      <c r="C7002" s="1" t="str">
        <f>HYPERLINK("http://продеталь.рф/search.html?article=VW47001AR","VW47001AR")</f>
        <v>VW47001AR</v>
      </c>
      <c r="D7002" t="s">
        <v>2</v>
      </c>
    </row>
    <row r="7003" spans="1:4" x14ac:dyDescent="0.25">
      <c r="A7003" t="s">
        <v>772</v>
      </c>
      <c r="B7003" s="2" t="s">
        <v>772</v>
      </c>
      <c r="C7003" s="2"/>
      <c r="D7003" s="2"/>
    </row>
    <row r="7004" spans="1:4" outlineLevel="1" x14ac:dyDescent="0.25">
      <c r="A7004" t="s">
        <v>772</v>
      </c>
      <c r="B7004" t="s">
        <v>15</v>
      </c>
      <c r="C7004" s="1" t="str">
        <f>HYPERLINK("http://продеталь.рф/search.html?article=3370135","3370135")</f>
        <v>3370135</v>
      </c>
      <c r="D7004" t="s">
        <v>4</v>
      </c>
    </row>
    <row r="7005" spans="1:4" outlineLevel="1" x14ac:dyDescent="0.25">
      <c r="A7005" t="s">
        <v>772</v>
      </c>
      <c r="B7005" t="s">
        <v>35</v>
      </c>
      <c r="C7005" s="1" t="str">
        <f>HYPERLINK("http://продеталь.рф/search.html?article=311021","311021")</f>
        <v>311021</v>
      </c>
      <c r="D7005" t="s">
        <v>21</v>
      </c>
    </row>
    <row r="7006" spans="1:4" outlineLevel="1" x14ac:dyDescent="0.25">
      <c r="A7006" t="s">
        <v>772</v>
      </c>
      <c r="B7006" t="s">
        <v>1</v>
      </c>
      <c r="C7006" s="1" t="str">
        <f>HYPERLINK("http://продеталь.рф/search.html?article=GD99666","GD99666")</f>
        <v>GD99666</v>
      </c>
      <c r="D7006" t="s">
        <v>2</v>
      </c>
    </row>
    <row r="7007" spans="1:4" outlineLevel="1" x14ac:dyDescent="0.25">
      <c r="A7007" t="s">
        <v>772</v>
      </c>
      <c r="B7007" t="s">
        <v>84</v>
      </c>
      <c r="C7007" s="1" t="str">
        <f>HYPERLINK("http://продеталь.рф/search.html?article=PVW04069L","PVW04069L")</f>
        <v>PVW04069L</v>
      </c>
      <c r="D7007" t="s">
        <v>6</v>
      </c>
    </row>
    <row r="7008" spans="1:4" outlineLevel="1" x14ac:dyDescent="0.25">
      <c r="A7008" t="s">
        <v>772</v>
      </c>
      <c r="B7008" t="s">
        <v>24</v>
      </c>
      <c r="C7008" s="1" t="str">
        <f>HYPERLINK("http://продеталь.рф/search.html?article=VWA80162","VWA80162")</f>
        <v>VWA80162</v>
      </c>
      <c r="D7008" t="s">
        <v>9</v>
      </c>
    </row>
    <row r="7009" spans="1:4" outlineLevel="1" x14ac:dyDescent="0.25">
      <c r="A7009" t="s">
        <v>772</v>
      </c>
      <c r="B7009" t="s">
        <v>66</v>
      </c>
      <c r="C7009" s="1" t="str">
        <f>HYPERLINK("http://продеталь.рф/search.html?article=BK014","BK014")</f>
        <v>BK014</v>
      </c>
      <c r="D7009" t="s">
        <v>6</v>
      </c>
    </row>
    <row r="7010" spans="1:4" outlineLevel="1" x14ac:dyDescent="0.25">
      <c r="A7010" t="s">
        <v>772</v>
      </c>
      <c r="B7010" t="s">
        <v>27</v>
      </c>
      <c r="C7010" s="1" t="str">
        <f>HYPERLINK("http://продеталь.рф/search.html?article=VWA8009A0","VWA8009A0")</f>
        <v>VWA8009A0</v>
      </c>
      <c r="D7010" t="s">
        <v>9</v>
      </c>
    </row>
    <row r="7011" spans="1:4" outlineLevel="1" x14ac:dyDescent="0.25">
      <c r="A7011" t="s">
        <v>772</v>
      </c>
      <c r="B7011" t="s">
        <v>3</v>
      </c>
      <c r="C7011" s="1" t="str">
        <f>HYPERLINK("http://продеталь.рф/search.html?article=200734052","200734052")</f>
        <v>200734052</v>
      </c>
      <c r="D7011" t="s">
        <v>4</v>
      </c>
    </row>
    <row r="7012" spans="1:4" outlineLevel="1" x14ac:dyDescent="0.25">
      <c r="A7012" t="s">
        <v>772</v>
      </c>
      <c r="B7012" t="s">
        <v>5</v>
      </c>
      <c r="C7012" s="1" t="str">
        <f>HYPERLINK("http://продеталь.рф/search.html?article=9555FP1","9555FP1")</f>
        <v>9555FP1</v>
      </c>
      <c r="D7012" t="s">
        <v>81</v>
      </c>
    </row>
    <row r="7013" spans="1:4" outlineLevel="1" x14ac:dyDescent="0.25">
      <c r="A7013" t="s">
        <v>772</v>
      </c>
      <c r="B7013" t="s">
        <v>5</v>
      </c>
      <c r="C7013" s="1" t="str">
        <f>HYPERLINK("http://продеталь.рф/search.html?article=211959B","211959B")</f>
        <v>211959B</v>
      </c>
      <c r="D7013" t="s">
        <v>21</v>
      </c>
    </row>
    <row r="7014" spans="1:4" outlineLevel="1" x14ac:dyDescent="0.25">
      <c r="A7014" t="s">
        <v>772</v>
      </c>
      <c r="B7014" t="s">
        <v>5</v>
      </c>
      <c r="C7014" s="1" t="str">
        <f>HYPERLINK("http://продеталь.рф/search.html?article=211960B","211960B")</f>
        <v>211960B</v>
      </c>
      <c r="D7014" t="s">
        <v>21</v>
      </c>
    </row>
    <row r="7015" spans="1:4" outlineLevel="1" x14ac:dyDescent="0.25">
      <c r="A7015" t="s">
        <v>772</v>
      </c>
      <c r="B7015" t="s">
        <v>19</v>
      </c>
      <c r="C7015" s="1" t="str">
        <f>HYPERLINK("http://продеталь.рф/search.html?article=190530019","190530019")</f>
        <v>190530019</v>
      </c>
      <c r="D7015" t="s">
        <v>4</v>
      </c>
    </row>
    <row r="7016" spans="1:4" outlineLevel="1" x14ac:dyDescent="0.25">
      <c r="A7016" t="s">
        <v>772</v>
      </c>
      <c r="B7016" t="s">
        <v>28</v>
      </c>
      <c r="C7016" s="1" t="str">
        <f>HYPERLINK("http://продеталь.рф/search.html?article=RA65279A","RA65279A")</f>
        <v>RA65279A</v>
      </c>
      <c r="D7016" t="s">
        <v>6</v>
      </c>
    </row>
    <row r="7017" spans="1:4" outlineLevel="1" x14ac:dyDescent="0.25">
      <c r="A7017" t="s">
        <v>772</v>
      </c>
      <c r="B7017" t="s">
        <v>40</v>
      </c>
      <c r="C7017" s="1" t="str">
        <f>HYPERLINK("http://продеталь.рф/search.html?article=0902719","0902719")</f>
        <v>0902719</v>
      </c>
      <c r="D7017" t="s">
        <v>58</v>
      </c>
    </row>
    <row r="7018" spans="1:4" outlineLevel="1" x14ac:dyDescent="0.25">
      <c r="A7018" t="s">
        <v>772</v>
      </c>
      <c r="B7018" t="s">
        <v>40</v>
      </c>
      <c r="C7018" s="1" t="str">
        <f>HYPERLINK("http://продеталь.рф/search.html?article=VW99025CAL","VW99025CAL")</f>
        <v>VW99025CAL</v>
      </c>
      <c r="D7018" t="s">
        <v>2</v>
      </c>
    </row>
    <row r="7019" spans="1:4" outlineLevel="1" x14ac:dyDescent="0.25">
      <c r="A7019" t="s">
        <v>772</v>
      </c>
      <c r="B7019" t="s">
        <v>13</v>
      </c>
      <c r="C7019" s="1" t="str">
        <f>HYPERLINK("http://продеталь.рф/search.html?article=VWA8000RB0","VWA8000RB0")</f>
        <v>VWA8000RB0</v>
      </c>
      <c r="D7019" t="s">
        <v>9</v>
      </c>
    </row>
    <row r="7020" spans="1:4" outlineLevel="1" x14ac:dyDescent="0.25">
      <c r="A7020" t="s">
        <v>772</v>
      </c>
      <c r="B7020" t="s">
        <v>13</v>
      </c>
      <c r="C7020" s="1" t="str">
        <f>HYPERLINK("http://продеталь.рф/search.html?article=VW44050B","VW44050B")</f>
        <v>VW44050B</v>
      </c>
      <c r="D7020" t="s">
        <v>2</v>
      </c>
    </row>
    <row r="7021" spans="1:4" x14ac:dyDescent="0.25">
      <c r="A7021" t="s">
        <v>773</v>
      </c>
      <c r="B7021" s="2" t="s">
        <v>773</v>
      </c>
      <c r="C7021" s="2"/>
      <c r="D7021" s="2"/>
    </row>
    <row r="7022" spans="1:4" outlineLevel="1" x14ac:dyDescent="0.25">
      <c r="A7022" t="s">
        <v>773</v>
      </c>
      <c r="B7022" t="s">
        <v>11</v>
      </c>
      <c r="C7022" s="1" t="str">
        <f>HYPERLINK("http://продеталь.рф/search.html?article=VW04160BA","VW04160BA")</f>
        <v>VW04160BA</v>
      </c>
      <c r="D7022" t="s">
        <v>2</v>
      </c>
    </row>
    <row r="7023" spans="1:4" outlineLevel="1" x14ac:dyDescent="0.25">
      <c r="A7023" t="s">
        <v>773</v>
      </c>
      <c r="B7023" t="s">
        <v>92</v>
      </c>
      <c r="C7023" s="1" t="str">
        <f>HYPERLINK("http://продеталь.рф/search.html?article=PVW99109CA","PVW99109CA")</f>
        <v>PVW99109CA</v>
      </c>
      <c r="D7023" t="s">
        <v>6</v>
      </c>
    </row>
    <row r="7024" spans="1:4" outlineLevel="1" x14ac:dyDescent="0.25">
      <c r="A7024" t="s">
        <v>773</v>
      </c>
      <c r="B7024" t="s">
        <v>92</v>
      </c>
      <c r="C7024" s="1" t="str">
        <f>HYPERLINK("http://продеталь.рф/search.html?article=PVW99108CAL","PVW99108CAL")</f>
        <v>PVW99108CAL</v>
      </c>
      <c r="D7024" t="s">
        <v>6</v>
      </c>
    </row>
    <row r="7025" spans="1:4" outlineLevel="1" x14ac:dyDescent="0.25">
      <c r="A7025" t="s">
        <v>773</v>
      </c>
      <c r="B7025" t="s">
        <v>19</v>
      </c>
      <c r="C7025" s="1" t="str">
        <f>HYPERLINK("http://продеталь.рф/search.html?article=19B022A62B","19B022A62B")</f>
        <v>19B022A62B</v>
      </c>
      <c r="D7025" t="s">
        <v>4</v>
      </c>
    </row>
    <row r="7026" spans="1:4" outlineLevel="1" x14ac:dyDescent="0.25">
      <c r="A7026" t="s">
        <v>773</v>
      </c>
      <c r="B7026" t="s">
        <v>19</v>
      </c>
      <c r="C7026" s="1" t="str">
        <f>HYPERLINK("http://продеталь.рф/search.html?article=19B046012B","19B046012B")</f>
        <v>19B046012B</v>
      </c>
      <c r="D7026" t="s">
        <v>4</v>
      </c>
    </row>
    <row r="7027" spans="1:4" outlineLevel="1" x14ac:dyDescent="0.25">
      <c r="A7027" t="s">
        <v>773</v>
      </c>
      <c r="B7027" t="s">
        <v>19</v>
      </c>
      <c r="C7027" s="1" t="str">
        <f>HYPERLINK("http://продеталь.рф/search.html?article=19B021A62B","19B021A62B")</f>
        <v>19B021A62B</v>
      </c>
      <c r="D7027" t="s">
        <v>4</v>
      </c>
    </row>
    <row r="7028" spans="1:4" outlineLevel="1" x14ac:dyDescent="0.25">
      <c r="A7028" t="s">
        <v>773</v>
      </c>
      <c r="B7028" t="s">
        <v>40</v>
      </c>
      <c r="C7028" s="1" t="str">
        <f>HYPERLINK("http://продеталь.рф/search.html?article=VW99061CBL","VW99061CBL")</f>
        <v>VW99061CBL</v>
      </c>
      <c r="D7028" t="s">
        <v>2</v>
      </c>
    </row>
    <row r="7029" spans="1:4" outlineLevel="1" x14ac:dyDescent="0.25">
      <c r="A7029" t="s">
        <v>773</v>
      </c>
      <c r="B7029" t="s">
        <v>40</v>
      </c>
      <c r="C7029" s="1" t="str">
        <f>HYPERLINK("http://продеталь.рф/search.html?article=PVW99107CAL","PVW99107CAL")</f>
        <v>PVW99107CAL</v>
      </c>
      <c r="D7029" t="s">
        <v>6</v>
      </c>
    </row>
    <row r="7030" spans="1:4" outlineLevel="1" x14ac:dyDescent="0.25">
      <c r="A7030" t="s">
        <v>773</v>
      </c>
      <c r="B7030" t="s">
        <v>40</v>
      </c>
      <c r="C7030" s="1" t="str">
        <f>HYPERLINK("http://продеталь.рф/search.html?article=PVW99107CAR","PVW99107CAR")</f>
        <v>PVW99107CAR</v>
      </c>
      <c r="D7030" t="s">
        <v>6</v>
      </c>
    </row>
    <row r="7031" spans="1:4" outlineLevel="1" x14ac:dyDescent="0.25">
      <c r="A7031" t="s">
        <v>773</v>
      </c>
      <c r="B7031" t="s">
        <v>12</v>
      </c>
      <c r="C7031" s="1" t="str">
        <f>HYPERLINK("http://продеталь.рф/search.html?article=VW07104GAV","VW07104GAV")</f>
        <v>VW07104GAV</v>
      </c>
      <c r="D7031" t="s">
        <v>2</v>
      </c>
    </row>
    <row r="7032" spans="1:4" outlineLevel="1" x14ac:dyDescent="0.25">
      <c r="A7032" t="s">
        <v>773</v>
      </c>
      <c r="B7032" t="s">
        <v>457</v>
      </c>
      <c r="C7032" s="1" t="str">
        <f>HYPERLINK("http://продеталь.рф/search.html?article=150129009","150129009")</f>
        <v>150129009</v>
      </c>
      <c r="D7032" t="s">
        <v>4</v>
      </c>
    </row>
    <row r="7033" spans="1:4" x14ac:dyDescent="0.25">
      <c r="A7033" t="s">
        <v>774</v>
      </c>
      <c r="B7033" s="2" t="s">
        <v>774</v>
      </c>
      <c r="C7033" s="2"/>
      <c r="D7033" s="2"/>
    </row>
    <row r="7034" spans="1:4" outlineLevel="1" x14ac:dyDescent="0.25">
      <c r="A7034" t="s">
        <v>774</v>
      </c>
      <c r="B7034" t="s">
        <v>11</v>
      </c>
      <c r="C7034" s="1" t="str">
        <f>HYPERLINK("http://продеталь.рф/search.html?article=VW04151BE","VW04151BE")</f>
        <v>VW04151BE</v>
      </c>
      <c r="D7034" t="s">
        <v>2</v>
      </c>
    </row>
    <row r="7035" spans="1:4" outlineLevel="1" x14ac:dyDescent="0.25">
      <c r="A7035" t="s">
        <v>774</v>
      </c>
      <c r="B7035" t="s">
        <v>11</v>
      </c>
      <c r="C7035" s="1" t="str">
        <f>HYPERLINK("http://продеталь.рф/search.html?article=PVW04078BAK","PVW04078BAK")</f>
        <v>PVW04078BAK</v>
      </c>
      <c r="D7035" t="s">
        <v>6</v>
      </c>
    </row>
    <row r="7036" spans="1:4" outlineLevel="1" x14ac:dyDescent="0.25">
      <c r="A7036" t="s">
        <v>774</v>
      </c>
      <c r="B7036" t="s">
        <v>11</v>
      </c>
      <c r="C7036" s="1" t="str">
        <f>HYPERLINK("http://продеталь.рф/search.html?article=PVW04156BAK","PVW04156BAK")</f>
        <v>PVW04156BAK</v>
      </c>
      <c r="D7036" t="s">
        <v>6</v>
      </c>
    </row>
    <row r="7037" spans="1:4" outlineLevel="1" x14ac:dyDescent="0.25">
      <c r="A7037" t="s">
        <v>774</v>
      </c>
      <c r="B7037" t="s">
        <v>1</v>
      </c>
      <c r="C7037" s="1" t="str">
        <f>HYPERLINK("http://продеталь.рф/search.html?article=VW18001500000","VW18001500000")</f>
        <v>VW18001500000</v>
      </c>
      <c r="D7037" t="s">
        <v>9</v>
      </c>
    </row>
    <row r="7038" spans="1:4" outlineLevel="1" x14ac:dyDescent="0.25">
      <c r="A7038" t="s">
        <v>774</v>
      </c>
      <c r="B7038" t="s">
        <v>84</v>
      </c>
      <c r="C7038" s="1" t="str">
        <f>HYPERLINK("http://продеталь.рф/search.html?article=PVW43045BL","PVW43045BL")</f>
        <v>PVW43045BL</v>
      </c>
      <c r="D7038" t="s">
        <v>6</v>
      </c>
    </row>
    <row r="7039" spans="1:4" outlineLevel="1" x14ac:dyDescent="0.25">
      <c r="A7039" t="s">
        <v>774</v>
      </c>
      <c r="B7039" t="s">
        <v>84</v>
      </c>
      <c r="C7039" s="1" t="str">
        <f>HYPERLINK("http://продеталь.рф/search.html?article=PVW43045BR","PVW43045BR")</f>
        <v>PVW43045BR</v>
      </c>
      <c r="D7039" t="s">
        <v>6</v>
      </c>
    </row>
    <row r="7040" spans="1:4" outlineLevel="1" x14ac:dyDescent="0.25">
      <c r="A7040" t="s">
        <v>774</v>
      </c>
      <c r="B7040" t="s">
        <v>27</v>
      </c>
      <c r="C7040" s="1" t="str">
        <f>HYPERLINK("http://продеталь.рф/search.html?article=PVW03024A","PVW03024A")</f>
        <v>PVW03024A</v>
      </c>
      <c r="D7040" t="s">
        <v>6</v>
      </c>
    </row>
    <row r="7041" spans="1:4" outlineLevel="1" x14ac:dyDescent="0.25">
      <c r="A7041" t="s">
        <v>774</v>
      </c>
      <c r="B7041" t="s">
        <v>3</v>
      </c>
      <c r="C7041" s="1" t="str">
        <f>HYPERLINK("http://продеталь.рф/search.html?article=20B776052B","20B776052B")</f>
        <v>20B776052B</v>
      </c>
      <c r="D7041" t="s">
        <v>4</v>
      </c>
    </row>
    <row r="7042" spans="1:4" outlineLevel="1" x14ac:dyDescent="0.25">
      <c r="A7042" t="s">
        <v>774</v>
      </c>
      <c r="B7042" t="s">
        <v>5</v>
      </c>
      <c r="C7042" s="1" t="str">
        <f>HYPERLINK("http://продеталь.рф/search.html?article=VW11067CL","VW11067CL")</f>
        <v>VW11067CL</v>
      </c>
      <c r="D7042" t="s">
        <v>2</v>
      </c>
    </row>
    <row r="7043" spans="1:4" outlineLevel="1" x14ac:dyDescent="0.25">
      <c r="A7043" t="s">
        <v>774</v>
      </c>
      <c r="B7043" t="s">
        <v>19</v>
      </c>
      <c r="C7043" s="1" t="str">
        <f>HYPERLINK("http://продеталь.рф/search.html?article=19A796019B","19A796019B")</f>
        <v>19A796019B</v>
      </c>
      <c r="D7043" t="s">
        <v>4</v>
      </c>
    </row>
    <row r="7044" spans="1:4" outlineLevel="1" x14ac:dyDescent="0.25">
      <c r="A7044" t="s">
        <v>774</v>
      </c>
      <c r="B7044" t="s">
        <v>19</v>
      </c>
      <c r="C7044" s="1" t="str">
        <f>HYPERLINK("http://продеталь.рф/search.html?article=19A795019B","19A795019B")</f>
        <v>19A795019B</v>
      </c>
      <c r="D7044" t="s">
        <v>4</v>
      </c>
    </row>
    <row r="7045" spans="1:4" outlineLevel="1" x14ac:dyDescent="0.25">
      <c r="A7045" t="s">
        <v>774</v>
      </c>
      <c r="B7045" t="s">
        <v>40</v>
      </c>
      <c r="C7045" s="1" t="str">
        <f>HYPERLINK("http://продеталь.рф/search.html?article=VW07093GA","VW07093GA")</f>
        <v>VW07093GA</v>
      </c>
      <c r="D7045" t="s">
        <v>2</v>
      </c>
    </row>
    <row r="7046" spans="1:4" outlineLevel="1" x14ac:dyDescent="0.25">
      <c r="A7046" t="s">
        <v>774</v>
      </c>
      <c r="B7046" t="s">
        <v>40</v>
      </c>
      <c r="C7046" s="1" t="str">
        <f>HYPERLINK("http://продеталь.рф/search.html?article=PVW07077GAR","PVW07077GAR")</f>
        <v>PVW07077GAR</v>
      </c>
      <c r="D7046" t="s">
        <v>6</v>
      </c>
    </row>
    <row r="7047" spans="1:4" outlineLevel="1" x14ac:dyDescent="0.25">
      <c r="A7047" t="s">
        <v>774</v>
      </c>
      <c r="B7047" t="s">
        <v>71</v>
      </c>
      <c r="C7047" s="1" t="str">
        <f>HYPERLINK("http://продеталь.рф/search.html?article=PVW05034GAK","PVW05034GAK")</f>
        <v>PVW05034GAK</v>
      </c>
      <c r="D7047" t="s">
        <v>6</v>
      </c>
    </row>
    <row r="7048" spans="1:4" outlineLevel="1" x14ac:dyDescent="0.25">
      <c r="A7048" t="s">
        <v>774</v>
      </c>
      <c r="B7048" t="s">
        <v>16</v>
      </c>
      <c r="C7048" s="1" t="str">
        <f>HYPERLINK("http://продеталь.рф/search.html?article=12A081019B","12A081019B")</f>
        <v>12A081019B</v>
      </c>
      <c r="D7048" t="s">
        <v>4</v>
      </c>
    </row>
    <row r="7049" spans="1:4" outlineLevel="1" x14ac:dyDescent="0.25">
      <c r="A7049" t="s">
        <v>774</v>
      </c>
      <c r="B7049" t="s">
        <v>13</v>
      </c>
      <c r="C7049" s="1" t="str">
        <f>HYPERLINK("http://продеталь.рф/search.html?article=PVW44050AS","PVW44050AS")</f>
        <v>PVW44050AS</v>
      </c>
      <c r="D7049" t="s">
        <v>6</v>
      </c>
    </row>
    <row r="7050" spans="1:4" x14ac:dyDescent="0.25">
      <c r="A7050" t="s">
        <v>775</v>
      </c>
      <c r="B7050" s="2" t="s">
        <v>775</v>
      </c>
      <c r="C7050" s="2"/>
      <c r="D7050" s="2"/>
    </row>
    <row r="7051" spans="1:4" outlineLevel="1" x14ac:dyDescent="0.25">
      <c r="A7051" t="s">
        <v>775</v>
      </c>
      <c r="B7051" t="s">
        <v>66</v>
      </c>
      <c r="C7051" s="1" t="str">
        <f>HYPERLINK("http://продеталь.рф/search.html?article=BK050","BK050")</f>
        <v>BK050</v>
      </c>
      <c r="D7051" t="s">
        <v>6</v>
      </c>
    </row>
    <row r="7052" spans="1:4" x14ac:dyDescent="0.25">
      <c r="A7052" t="s">
        <v>776</v>
      </c>
      <c r="B7052" s="2" t="s">
        <v>776</v>
      </c>
      <c r="C7052" s="2"/>
      <c r="D7052" s="2"/>
    </row>
    <row r="7053" spans="1:4" outlineLevel="1" x14ac:dyDescent="0.25">
      <c r="A7053" t="s">
        <v>776</v>
      </c>
      <c r="B7053" t="s">
        <v>11</v>
      </c>
      <c r="C7053" s="1" t="str">
        <f>HYPERLINK("http://продеталь.рф/search.html?article=VW04050BA","VW04050BA")</f>
        <v>VW04050BA</v>
      </c>
      <c r="D7053" t="s">
        <v>2</v>
      </c>
    </row>
    <row r="7054" spans="1:4" outlineLevel="1" x14ac:dyDescent="0.25">
      <c r="A7054" t="s">
        <v>776</v>
      </c>
      <c r="B7054" t="s">
        <v>1</v>
      </c>
      <c r="C7054" s="1" t="str">
        <f>HYPERLINK("http://продеталь.рф/search.html?article=VW37015B0","VW37015B0")</f>
        <v>VW37015B0</v>
      </c>
      <c r="D7054" t="s">
        <v>9</v>
      </c>
    </row>
    <row r="7055" spans="1:4" outlineLevel="1" x14ac:dyDescent="0.25">
      <c r="A7055" t="s">
        <v>776</v>
      </c>
      <c r="B7055" t="s">
        <v>24</v>
      </c>
      <c r="C7055" s="1" t="str">
        <f>HYPERLINK("http://продеталь.рф/search.html?article=VW37016B2","VW37016B2")</f>
        <v>VW37016B2</v>
      </c>
      <c r="D7055" t="s">
        <v>9</v>
      </c>
    </row>
    <row r="7056" spans="1:4" outlineLevel="1" x14ac:dyDescent="0.25">
      <c r="A7056" t="s">
        <v>776</v>
      </c>
      <c r="B7056" t="s">
        <v>24</v>
      </c>
      <c r="C7056" s="1" t="str">
        <f>HYPERLINK("http://продеталь.рф/search.html?article=VW37016B1","VW37016B1")</f>
        <v>VW37016B1</v>
      </c>
      <c r="D7056" t="s">
        <v>9</v>
      </c>
    </row>
    <row r="7057" spans="1:4" outlineLevel="1" x14ac:dyDescent="0.25">
      <c r="A7057" t="s">
        <v>776</v>
      </c>
      <c r="B7057" t="s">
        <v>37</v>
      </c>
      <c r="C7057" s="1" t="str">
        <f>HYPERLINK("http://продеталь.рф/search.html?article=927251","927251")</f>
        <v>927251</v>
      </c>
      <c r="D7057" t="s">
        <v>58</v>
      </c>
    </row>
    <row r="7058" spans="1:4" outlineLevel="1" x14ac:dyDescent="0.25">
      <c r="A7058" t="s">
        <v>776</v>
      </c>
      <c r="B7058" t="s">
        <v>37</v>
      </c>
      <c r="C7058" s="1" t="str">
        <f>HYPERLINK("http://продеталь.рф/search.html?article=927252","927252")</f>
        <v>927252</v>
      </c>
      <c r="D7058" t="s">
        <v>58</v>
      </c>
    </row>
    <row r="7059" spans="1:4" outlineLevel="1" x14ac:dyDescent="0.25">
      <c r="A7059" t="s">
        <v>776</v>
      </c>
      <c r="B7059" t="s">
        <v>37</v>
      </c>
      <c r="C7059" s="1" t="str">
        <f>HYPERLINK("http://продеталь.рф/search.html?article=927254","927254")</f>
        <v>927254</v>
      </c>
      <c r="D7059" t="s">
        <v>58</v>
      </c>
    </row>
    <row r="7060" spans="1:4" outlineLevel="1" x14ac:dyDescent="0.25">
      <c r="A7060" t="s">
        <v>776</v>
      </c>
      <c r="B7060" t="s">
        <v>37</v>
      </c>
      <c r="C7060" s="1" t="str">
        <f>HYPERLINK("http://продеталь.рф/search.html?article=927255","927255")</f>
        <v>927255</v>
      </c>
      <c r="D7060" t="s">
        <v>58</v>
      </c>
    </row>
    <row r="7061" spans="1:4" outlineLevel="1" x14ac:dyDescent="0.25">
      <c r="A7061" t="s">
        <v>776</v>
      </c>
      <c r="B7061" t="s">
        <v>27</v>
      </c>
      <c r="C7061" s="1" t="str">
        <f>HYPERLINK("http://продеталь.рф/search.html?article=VW37009J0","VW37009J0")</f>
        <v>VW37009J0</v>
      </c>
      <c r="D7061" t="s">
        <v>9</v>
      </c>
    </row>
    <row r="7062" spans="1:4" outlineLevel="1" x14ac:dyDescent="0.25">
      <c r="A7062" t="s">
        <v>776</v>
      </c>
      <c r="B7062" t="s">
        <v>3</v>
      </c>
      <c r="C7062" s="1" t="str">
        <f>HYPERLINK("http://продеталь.рф/search.html?article=205966052","205966052")</f>
        <v>205966052</v>
      </c>
      <c r="D7062" t="s">
        <v>4</v>
      </c>
    </row>
    <row r="7063" spans="1:4" outlineLevel="1" x14ac:dyDescent="0.25">
      <c r="A7063" t="s">
        <v>776</v>
      </c>
      <c r="B7063" t="s">
        <v>3</v>
      </c>
      <c r="C7063" s="1" t="str">
        <f>HYPERLINK("http://продеталь.рф/search.html?article=205965052","205965052")</f>
        <v>205965052</v>
      </c>
      <c r="D7063" t="s">
        <v>4</v>
      </c>
    </row>
    <row r="7064" spans="1:4" outlineLevel="1" x14ac:dyDescent="0.25">
      <c r="A7064" t="s">
        <v>776</v>
      </c>
      <c r="B7064" t="s">
        <v>5</v>
      </c>
      <c r="C7064" s="1" t="str">
        <f>HYPERLINK("http://продеталь.рф/search.html?article=211925","211925")</f>
        <v>211925</v>
      </c>
      <c r="D7064" t="s">
        <v>21</v>
      </c>
    </row>
    <row r="7065" spans="1:4" outlineLevel="1" x14ac:dyDescent="0.25">
      <c r="A7065" t="s">
        <v>776</v>
      </c>
      <c r="B7065" t="s">
        <v>5</v>
      </c>
      <c r="C7065" s="1" t="str">
        <f>HYPERLINK("http://продеталь.рф/search.html?article=211926","211926")</f>
        <v>211926</v>
      </c>
      <c r="D7065" t="s">
        <v>21</v>
      </c>
    </row>
    <row r="7066" spans="1:4" outlineLevel="1" x14ac:dyDescent="0.25">
      <c r="A7066" t="s">
        <v>776</v>
      </c>
      <c r="B7066" t="s">
        <v>19</v>
      </c>
      <c r="C7066" s="1" t="str">
        <f>HYPERLINK("http://продеталь.рф/search.html?article=195426052","195426052")</f>
        <v>195426052</v>
      </c>
      <c r="D7066" t="s">
        <v>4</v>
      </c>
    </row>
    <row r="7067" spans="1:4" outlineLevel="1" x14ac:dyDescent="0.25">
      <c r="A7067" t="s">
        <v>776</v>
      </c>
      <c r="B7067" t="s">
        <v>19</v>
      </c>
      <c r="C7067" s="1" t="str">
        <f>HYPERLINK("http://продеталь.рф/search.html?article=195425052","195425052")</f>
        <v>195425052</v>
      </c>
      <c r="D7067" t="s">
        <v>4</v>
      </c>
    </row>
    <row r="7068" spans="1:4" outlineLevel="1" x14ac:dyDescent="0.25">
      <c r="A7068" t="s">
        <v>776</v>
      </c>
      <c r="B7068" t="s">
        <v>40</v>
      </c>
      <c r="C7068" s="1" t="str">
        <f>HYPERLINK("http://продеталь.рф/search.html?article=VW07037GA","VW07037GA")</f>
        <v>VW07037GA</v>
      </c>
      <c r="D7068" t="s">
        <v>99</v>
      </c>
    </row>
    <row r="7069" spans="1:4" outlineLevel="1" x14ac:dyDescent="0.25">
      <c r="A7069" t="s">
        <v>776</v>
      </c>
      <c r="B7069" t="s">
        <v>12</v>
      </c>
      <c r="C7069" s="1" t="str">
        <f>HYPERLINK("http://продеталь.рф/search.html?article=VW37093B0","VW37093B0")</f>
        <v>VW37093B0</v>
      </c>
      <c r="D7069" t="s">
        <v>9</v>
      </c>
    </row>
    <row r="7070" spans="1:4" x14ac:dyDescent="0.25">
      <c r="A7070" t="s">
        <v>777</v>
      </c>
      <c r="B7070" s="2" t="s">
        <v>777</v>
      </c>
      <c r="C7070" s="2"/>
      <c r="D7070" s="2"/>
    </row>
    <row r="7071" spans="1:4" outlineLevel="1" x14ac:dyDescent="0.25">
      <c r="A7071" t="s">
        <v>777</v>
      </c>
      <c r="B7071" t="s">
        <v>11</v>
      </c>
      <c r="C7071" s="1" t="str">
        <f>HYPERLINK("http://продеталь.рф/search.html?article=VW380000","VW380000")</f>
        <v>VW380000</v>
      </c>
      <c r="D7071" t="s">
        <v>9</v>
      </c>
    </row>
    <row r="7072" spans="1:4" outlineLevel="1" x14ac:dyDescent="0.25">
      <c r="A7072" t="s">
        <v>777</v>
      </c>
      <c r="B7072" t="s">
        <v>15</v>
      </c>
      <c r="C7072" s="1" t="str">
        <f>HYPERLINK("http://продеталь.рф/search.html?article=3370061","3370061")</f>
        <v>3370061</v>
      </c>
      <c r="D7072" t="s">
        <v>4</v>
      </c>
    </row>
    <row r="7073" spans="1:4" outlineLevel="1" x14ac:dyDescent="0.25">
      <c r="A7073" t="s">
        <v>777</v>
      </c>
      <c r="B7073" t="s">
        <v>15</v>
      </c>
      <c r="C7073" s="1" t="str">
        <f>HYPERLINK("http://продеталь.рф/search.html?article=VVWM1014EL","VVWM1014EL")</f>
        <v>VVWM1014EL</v>
      </c>
      <c r="D7073" t="s">
        <v>6</v>
      </c>
    </row>
    <row r="7074" spans="1:4" outlineLevel="1" x14ac:dyDescent="0.25">
      <c r="A7074" t="s">
        <v>777</v>
      </c>
      <c r="B7074" t="s">
        <v>23</v>
      </c>
      <c r="C7074" s="1" t="str">
        <f>HYPERLINK("http://продеталь.рф/search.html?article=110171012","110171012")</f>
        <v>110171012</v>
      </c>
      <c r="D7074" t="s">
        <v>4</v>
      </c>
    </row>
    <row r="7075" spans="1:4" outlineLevel="1" x14ac:dyDescent="0.25">
      <c r="A7075" t="s">
        <v>777</v>
      </c>
      <c r="B7075" t="s">
        <v>1</v>
      </c>
      <c r="C7075" s="1" t="str">
        <f>HYPERLINK("http://продеталь.рф/search.html?article=VW20028A","VW20028A")</f>
        <v>VW20028A</v>
      </c>
      <c r="D7075" t="s">
        <v>99</v>
      </c>
    </row>
    <row r="7076" spans="1:4" outlineLevel="1" x14ac:dyDescent="0.25">
      <c r="A7076" t="s">
        <v>777</v>
      </c>
      <c r="B7076" t="s">
        <v>37</v>
      </c>
      <c r="C7076" s="1" t="str">
        <f>HYPERLINK("http://продеталь.рф/search.html?article=929251","929251")</f>
        <v>929251</v>
      </c>
      <c r="D7076" t="s">
        <v>58</v>
      </c>
    </row>
    <row r="7077" spans="1:4" outlineLevel="1" x14ac:dyDescent="0.25">
      <c r="A7077" t="s">
        <v>777</v>
      </c>
      <c r="B7077" t="s">
        <v>37</v>
      </c>
      <c r="C7077" s="1" t="str">
        <f>HYPERLINK("http://продеталь.рф/search.html?article=929252","929252")</f>
        <v>929252</v>
      </c>
      <c r="D7077" t="s">
        <v>58</v>
      </c>
    </row>
    <row r="7078" spans="1:4" outlineLevel="1" x14ac:dyDescent="0.25">
      <c r="A7078" t="s">
        <v>777</v>
      </c>
      <c r="B7078" t="s">
        <v>37</v>
      </c>
      <c r="C7078" s="1" t="str">
        <f>HYPERLINK("http://продеталь.рф/search.html?article=929254","929254")</f>
        <v>929254</v>
      </c>
      <c r="D7078" t="s">
        <v>58</v>
      </c>
    </row>
    <row r="7079" spans="1:4" outlineLevel="1" x14ac:dyDescent="0.25">
      <c r="A7079" t="s">
        <v>777</v>
      </c>
      <c r="B7079" t="s">
        <v>37</v>
      </c>
      <c r="C7079" s="1" t="str">
        <f>HYPERLINK("http://продеталь.рф/search.html?article=929255","929255")</f>
        <v>929255</v>
      </c>
      <c r="D7079" t="s">
        <v>58</v>
      </c>
    </row>
    <row r="7080" spans="1:4" outlineLevel="1" x14ac:dyDescent="0.25">
      <c r="A7080" t="s">
        <v>777</v>
      </c>
      <c r="B7080" t="s">
        <v>26</v>
      </c>
      <c r="C7080" s="1" t="str">
        <f>HYPERLINK("http://продеталь.рф/search.html?article=VW38000M0","VW38000M0")</f>
        <v>VW38000M0</v>
      </c>
      <c r="D7080" t="s">
        <v>9</v>
      </c>
    </row>
    <row r="7081" spans="1:4" outlineLevel="1" x14ac:dyDescent="0.25">
      <c r="A7081" t="s">
        <v>777</v>
      </c>
      <c r="B7081" t="s">
        <v>3</v>
      </c>
      <c r="C7081" s="1" t="str">
        <f>HYPERLINK("http://продеталь.рф/search.html?article=200385052","200385052")</f>
        <v>200385052</v>
      </c>
      <c r="D7081" t="s">
        <v>4</v>
      </c>
    </row>
    <row r="7082" spans="1:4" outlineLevel="1" x14ac:dyDescent="0.25">
      <c r="A7082" t="s">
        <v>777</v>
      </c>
      <c r="B7082" t="s">
        <v>54</v>
      </c>
      <c r="C7082" s="1" t="str">
        <f>HYPERLINK("http://продеталь.рф/search.html?article=9504001","9504001")</f>
        <v>9504001</v>
      </c>
      <c r="D7082" t="s">
        <v>46</v>
      </c>
    </row>
    <row r="7083" spans="1:4" outlineLevel="1" x14ac:dyDescent="0.25">
      <c r="A7083" t="s">
        <v>777</v>
      </c>
      <c r="B7083" t="s">
        <v>54</v>
      </c>
      <c r="C7083" s="1" t="str">
        <f>HYPERLINK("http://продеталь.рф/search.html?article=9504002","9504002")</f>
        <v>9504002</v>
      </c>
      <c r="D7083" t="s">
        <v>46</v>
      </c>
    </row>
    <row r="7084" spans="1:4" outlineLevel="1" x14ac:dyDescent="0.25">
      <c r="A7084" t="s">
        <v>777</v>
      </c>
      <c r="B7084" t="s">
        <v>19</v>
      </c>
      <c r="C7084" s="1" t="str">
        <f>HYPERLINK("http://продеталь.рф/search.html?article=190298052","190298052")</f>
        <v>190298052</v>
      </c>
      <c r="D7084" t="s">
        <v>4</v>
      </c>
    </row>
    <row r="7085" spans="1:4" outlineLevel="1" x14ac:dyDescent="0.25">
      <c r="A7085" t="s">
        <v>777</v>
      </c>
      <c r="B7085" t="s">
        <v>19</v>
      </c>
      <c r="C7085" s="1" t="str">
        <f>HYPERLINK("http://продеталь.рф/search.html?article=ZVW2017KL","ZVW2017KL")</f>
        <v>ZVW2017KL</v>
      </c>
      <c r="D7085" t="s">
        <v>6</v>
      </c>
    </row>
    <row r="7086" spans="1:4" outlineLevel="1" x14ac:dyDescent="0.25">
      <c r="A7086" t="s">
        <v>777</v>
      </c>
      <c r="B7086" t="s">
        <v>19</v>
      </c>
      <c r="C7086" s="1" t="str">
        <f>HYPERLINK("http://продеталь.рф/search.html?article=ZVW2017KR","ZVW2017KR")</f>
        <v>ZVW2017KR</v>
      </c>
      <c r="D7086" t="s">
        <v>6</v>
      </c>
    </row>
    <row r="7087" spans="1:4" outlineLevel="1" x14ac:dyDescent="0.25">
      <c r="A7087" t="s">
        <v>777</v>
      </c>
      <c r="B7087" t="s">
        <v>28</v>
      </c>
      <c r="C7087" s="1" t="str">
        <f>HYPERLINK("http://продеталь.рф/search.html?article=RA64102A","RA64102A")</f>
        <v>RA64102A</v>
      </c>
      <c r="D7087" t="s">
        <v>6</v>
      </c>
    </row>
    <row r="7088" spans="1:4" outlineLevel="1" x14ac:dyDescent="0.25">
      <c r="A7088" t="s">
        <v>777</v>
      </c>
      <c r="B7088" t="s">
        <v>8</v>
      </c>
      <c r="C7088" s="1" t="str">
        <f>HYPERLINK("http://продеталь.рф/search.html?article=RC94628","RC94628")</f>
        <v>RC94628</v>
      </c>
      <c r="D7088" t="s">
        <v>6</v>
      </c>
    </row>
    <row r="7089" spans="1:4" outlineLevel="1" x14ac:dyDescent="0.25">
      <c r="A7089" t="s">
        <v>777</v>
      </c>
      <c r="B7089" t="s">
        <v>40</v>
      </c>
      <c r="C7089" s="1" t="str">
        <f>HYPERLINK("http://продеталь.рф/search.html?article=PVW99021CAL","PVW99021CAL")</f>
        <v>PVW99021CAL</v>
      </c>
      <c r="D7089" t="s">
        <v>6</v>
      </c>
    </row>
    <row r="7090" spans="1:4" outlineLevel="1" x14ac:dyDescent="0.25">
      <c r="A7090" t="s">
        <v>777</v>
      </c>
      <c r="B7090" t="s">
        <v>40</v>
      </c>
      <c r="C7090" s="1" t="str">
        <f>HYPERLINK("http://продеталь.рф/search.html?article=PVW99020BLK","PVW99020BLK")</f>
        <v>PVW99020BLK</v>
      </c>
      <c r="D7090" t="s">
        <v>6</v>
      </c>
    </row>
    <row r="7091" spans="1:4" outlineLevel="1" x14ac:dyDescent="0.25">
      <c r="A7091" t="s">
        <v>777</v>
      </c>
      <c r="B7091" t="s">
        <v>12</v>
      </c>
      <c r="C7091" s="1" t="str">
        <f>HYPERLINK("http://продеталь.рф/search.html?article=VW07038GA","VW07038GA")</f>
        <v>VW07038GA</v>
      </c>
      <c r="D7091" t="s">
        <v>2</v>
      </c>
    </row>
    <row r="7092" spans="1:4" outlineLevel="1" x14ac:dyDescent="0.25">
      <c r="A7092" t="s">
        <v>777</v>
      </c>
      <c r="B7092" t="s">
        <v>16</v>
      </c>
      <c r="C7092" s="1" t="str">
        <f>HYPERLINK("http://продеталь.рф/search.html?article=183588052","183588052")</f>
        <v>183588052</v>
      </c>
      <c r="D7092" t="s">
        <v>4</v>
      </c>
    </row>
    <row r="7093" spans="1:4" outlineLevel="1" x14ac:dyDescent="0.25">
      <c r="A7093" t="s">
        <v>777</v>
      </c>
      <c r="B7093" t="s">
        <v>16</v>
      </c>
      <c r="C7093" s="1" t="str">
        <f>HYPERLINK("http://продеталь.рф/search.html?article=183587052","183587052")</f>
        <v>183587052</v>
      </c>
      <c r="D7093" t="s">
        <v>4</v>
      </c>
    </row>
    <row r="7094" spans="1:4" x14ac:dyDescent="0.25">
      <c r="A7094" t="s">
        <v>778</v>
      </c>
      <c r="B7094" s="2" t="s">
        <v>778</v>
      </c>
      <c r="C7094" s="2"/>
      <c r="D7094" s="2"/>
    </row>
    <row r="7095" spans="1:4" outlineLevel="1" x14ac:dyDescent="0.25">
      <c r="A7095" t="s">
        <v>778</v>
      </c>
      <c r="B7095" t="s">
        <v>11</v>
      </c>
      <c r="C7095" s="1" t="str">
        <f>HYPERLINK("http://продеталь.рф/search.html?article=WOS07PO012","WOS07PO012")</f>
        <v>WOS07PO012</v>
      </c>
      <c r="D7095" t="s">
        <v>182</v>
      </c>
    </row>
    <row r="7096" spans="1:4" outlineLevel="1" x14ac:dyDescent="0.25">
      <c r="A7096" t="s">
        <v>778</v>
      </c>
      <c r="B7096" t="s">
        <v>24</v>
      </c>
      <c r="C7096" s="1" t="str">
        <f>HYPERLINK("http://продеталь.рф/search.html?article=PVW10044AL","PVW10044AL")</f>
        <v>PVW10044AL</v>
      </c>
      <c r="D7096" t="s">
        <v>6</v>
      </c>
    </row>
    <row r="7097" spans="1:4" outlineLevel="1" x14ac:dyDescent="0.25">
      <c r="A7097" t="s">
        <v>778</v>
      </c>
      <c r="B7097" t="s">
        <v>24</v>
      </c>
      <c r="C7097" s="1" t="str">
        <f>HYPERLINK("http://продеталь.рф/search.html?article=PVW10044AR","PVW10044AR")</f>
        <v>PVW10044AR</v>
      </c>
      <c r="D7097" t="s">
        <v>6</v>
      </c>
    </row>
    <row r="7098" spans="1:4" outlineLevel="1" x14ac:dyDescent="0.25">
      <c r="A7098" t="s">
        <v>778</v>
      </c>
      <c r="B7098" t="s">
        <v>103</v>
      </c>
      <c r="C7098" s="1" t="str">
        <f>HYPERLINK("http://продеталь.рф/search.html?article=VW99022CALN","VW99022CALN")</f>
        <v>VW99022CALN</v>
      </c>
      <c r="D7098" t="s">
        <v>2</v>
      </c>
    </row>
    <row r="7099" spans="1:4" outlineLevel="1" x14ac:dyDescent="0.25">
      <c r="A7099" t="s">
        <v>778</v>
      </c>
      <c r="B7099" t="s">
        <v>103</v>
      </c>
      <c r="C7099" s="1" t="str">
        <f>HYPERLINK("http://продеталь.рф/search.html?article=VW99022CARN","VW99022CARN")</f>
        <v>VW99022CARN</v>
      </c>
      <c r="D7099" t="s">
        <v>2</v>
      </c>
    </row>
    <row r="7100" spans="1:4" outlineLevel="1" x14ac:dyDescent="0.25">
      <c r="A7100" t="s">
        <v>778</v>
      </c>
      <c r="B7100" t="s">
        <v>26</v>
      </c>
      <c r="C7100" s="1" t="str">
        <f>HYPERLINK("http://продеталь.рф/search.html?article=0904712","0904712")</f>
        <v>0904712</v>
      </c>
      <c r="D7100" t="s">
        <v>58</v>
      </c>
    </row>
    <row r="7101" spans="1:4" outlineLevel="1" x14ac:dyDescent="0.25">
      <c r="A7101" t="s">
        <v>778</v>
      </c>
      <c r="B7101" t="s">
        <v>26</v>
      </c>
      <c r="C7101" s="1" t="str">
        <f>HYPERLINK("http://продеталь.рф/search.html?article=0904711","0904711")</f>
        <v>0904711</v>
      </c>
      <c r="D7101" t="s">
        <v>58</v>
      </c>
    </row>
    <row r="7102" spans="1:4" outlineLevel="1" x14ac:dyDescent="0.25">
      <c r="A7102" t="s">
        <v>778</v>
      </c>
      <c r="B7102" t="s">
        <v>27</v>
      </c>
      <c r="C7102" s="1" t="str">
        <f>HYPERLINK("http://продеталь.рф/search.html?article=PVW30016A","PVW30016A")</f>
        <v>PVW30016A</v>
      </c>
      <c r="D7102" t="s">
        <v>6</v>
      </c>
    </row>
    <row r="7103" spans="1:4" outlineLevel="1" x14ac:dyDescent="0.25">
      <c r="A7103" t="s">
        <v>778</v>
      </c>
      <c r="B7103" t="s">
        <v>3</v>
      </c>
      <c r="C7103" s="1" t="str">
        <f>HYPERLINK("http://продеталь.рф/search.html?article=200730052","200730052")</f>
        <v>200730052</v>
      </c>
      <c r="D7103" t="s">
        <v>4</v>
      </c>
    </row>
    <row r="7104" spans="1:4" outlineLevel="1" x14ac:dyDescent="0.25">
      <c r="A7104" t="s">
        <v>778</v>
      </c>
      <c r="B7104" t="s">
        <v>3</v>
      </c>
      <c r="C7104" s="1" t="str">
        <f>HYPERLINK("http://продеталь.рф/search.html?article=200729052","200729052")</f>
        <v>200729052</v>
      </c>
      <c r="D7104" t="s">
        <v>4</v>
      </c>
    </row>
    <row r="7105" spans="1:4" outlineLevel="1" x14ac:dyDescent="0.25">
      <c r="A7105" t="s">
        <v>778</v>
      </c>
      <c r="B7105" t="s">
        <v>5</v>
      </c>
      <c r="C7105" s="1" t="str">
        <f>HYPERLINK("http://продеталь.рф/search.html?article=211965","211965")</f>
        <v>211965</v>
      </c>
      <c r="D7105" t="s">
        <v>21</v>
      </c>
    </row>
    <row r="7106" spans="1:4" outlineLevel="1" x14ac:dyDescent="0.25">
      <c r="A7106" t="s">
        <v>778</v>
      </c>
      <c r="B7106" t="s">
        <v>5</v>
      </c>
      <c r="C7106" s="1" t="str">
        <f>HYPERLINK("http://продеталь.рф/search.html?article=211966","211966")</f>
        <v>211966</v>
      </c>
      <c r="D7106" t="s">
        <v>21</v>
      </c>
    </row>
    <row r="7107" spans="1:4" outlineLevel="1" x14ac:dyDescent="0.25">
      <c r="A7107" t="s">
        <v>778</v>
      </c>
      <c r="B7107" t="s">
        <v>40</v>
      </c>
      <c r="C7107" s="1" t="str">
        <f>HYPERLINK("http://продеталь.рф/search.html?article=VW99023CAR","VW99023CAR")</f>
        <v>VW99023CAR</v>
      </c>
      <c r="D7107" t="s">
        <v>2</v>
      </c>
    </row>
    <row r="7108" spans="1:4" outlineLevel="1" x14ac:dyDescent="0.25">
      <c r="A7108" t="s">
        <v>778</v>
      </c>
      <c r="B7108" t="s">
        <v>12</v>
      </c>
      <c r="C7108" s="1" t="str">
        <f>HYPERLINK("http://продеталь.рф/search.html?article=VW39009300000","VW39009300000")</f>
        <v>VW39009300000</v>
      </c>
      <c r="D7108" t="s">
        <v>9</v>
      </c>
    </row>
    <row r="7109" spans="1:4" x14ac:dyDescent="0.25">
      <c r="A7109" t="s">
        <v>779</v>
      </c>
      <c r="B7109" s="2" t="s">
        <v>779</v>
      </c>
      <c r="C7109" s="2"/>
      <c r="D7109" s="2"/>
    </row>
    <row r="7110" spans="1:4" outlineLevel="1" x14ac:dyDescent="0.25">
      <c r="A7110" t="s">
        <v>779</v>
      </c>
      <c r="B7110" t="s">
        <v>11</v>
      </c>
      <c r="C7110" s="1" t="str">
        <f>HYPERLINK("http://продеталь.рф/search.html?article=VW39100001000","VW39100001000")</f>
        <v>VW39100001000</v>
      </c>
      <c r="D7110" t="s">
        <v>9</v>
      </c>
    </row>
    <row r="7111" spans="1:4" outlineLevel="1" x14ac:dyDescent="0.25">
      <c r="A7111" t="s">
        <v>779</v>
      </c>
      <c r="B7111" t="s">
        <v>11</v>
      </c>
      <c r="C7111" s="1" t="str">
        <f>HYPERLINK("http://продеталь.рф/search.html?article=VW39100000000","VW39100000000")</f>
        <v>VW39100000000</v>
      </c>
      <c r="D7111" t="s">
        <v>9</v>
      </c>
    </row>
    <row r="7112" spans="1:4" outlineLevel="1" x14ac:dyDescent="0.25">
      <c r="A7112" t="s">
        <v>779</v>
      </c>
      <c r="B7112" t="s">
        <v>11</v>
      </c>
      <c r="C7112" s="1" t="str">
        <f>HYPERLINK("http://продеталь.рф/search.html?article=PVW04155BR","PVW04155BR")</f>
        <v>PVW04155BR</v>
      </c>
      <c r="D7112" t="s">
        <v>6</v>
      </c>
    </row>
    <row r="7113" spans="1:4" outlineLevel="1" x14ac:dyDescent="0.25">
      <c r="A7113" t="s">
        <v>779</v>
      </c>
      <c r="B7113" t="s">
        <v>23</v>
      </c>
      <c r="C7113" s="1" t="str">
        <f>HYPERLINK("http://продеталь.рф/search.html?article=11B488012B","11B488012B")</f>
        <v>11B488012B</v>
      </c>
      <c r="D7113" t="s">
        <v>4</v>
      </c>
    </row>
    <row r="7114" spans="1:4" outlineLevel="1" x14ac:dyDescent="0.25">
      <c r="A7114" t="s">
        <v>779</v>
      </c>
      <c r="B7114" t="s">
        <v>780</v>
      </c>
      <c r="C7114" s="1" t="str">
        <f>HYPERLINK("http://продеталь.рф/search.html?article=11B487012B","11B487012B")</f>
        <v>11B487012B</v>
      </c>
      <c r="D7114" t="s">
        <v>4</v>
      </c>
    </row>
    <row r="7115" spans="1:4" outlineLevel="1" x14ac:dyDescent="0.25">
      <c r="A7115" t="s">
        <v>779</v>
      </c>
      <c r="B7115" t="s">
        <v>24</v>
      </c>
      <c r="C7115" s="1" t="str">
        <f>HYPERLINK("http://продеталь.рф/search.html?article=VW39101602R00","VW39101602R00")</f>
        <v>VW39101602R00</v>
      </c>
      <c r="D7115" t="s">
        <v>9</v>
      </c>
    </row>
    <row r="7116" spans="1:4" outlineLevel="1" x14ac:dyDescent="0.25">
      <c r="A7116" t="s">
        <v>779</v>
      </c>
      <c r="B7116" t="s">
        <v>103</v>
      </c>
      <c r="C7116" s="1" t="str">
        <f>HYPERLINK("http://продеталь.рф/search.html?article=PVW99045CAR","PVW99045CAR")</f>
        <v>PVW99045CAR</v>
      </c>
      <c r="D7116" t="s">
        <v>6</v>
      </c>
    </row>
    <row r="7117" spans="1:4" outlineLevel="1" x14ac:dyDescent="0.25">
      <c r="A7117" t="s">
        <v>779</v>
      </c>
      <c r="B7117" t="s">
        <v>66</v>
      </c>
      <c r="C7117" s="1" t="str">
        <f>HYPERLINK("http://продеталь.рф/search.html?article=BK086","BK086")</f>
        <v>BK086</v>
      </c>
      <c r="D7117" t="s">
        <v>6</v>
      </c>
    </row>
    <row r="7118" spans="1:4" outlineLevel="1" x14ac:dyDescent="0.25">
      <c r="A7118" t="s">
        <v>779</v>
      </c>
      <c r="B7118" t="s">
        <v>27</v>
      </c>
      <c r="C7118" s="1" t="str">
        <f>HYPERLINK("http://продеталь.рф/search.html?article=PVW30022A","PVW30022A")</f>
        <v>PVW30022A</v>
      </c>
      <c r="D7118" t="s">
        <v>6</v>
      </c>
    </row>
    <row r="7119" spans="1:4" outlineLevel="1" x14ac:dyDescent="0.25">
      <c r="A7119" t="s">
        <v>779</v>
      </c>
      <c r="B7119" t="s">
        <v>3</v>
      </c>
      <c r="C7119" s="1" t="str">
        <f>HYPERLINK("http://продеталь.рф/search.html?article=20C034052B","20C034052B")</f>
        <v>20C034052B</v>
      </c>
      <c r="D7119" t="s">
        <v>4</v>
      </c>
    </row>
    <row r="7120" spans="1:4" outlineLevel="1" x14ac:dyDescent="0.25">
      <c r="A7120" t="s">
        <v>779</v>
      </c>
      <c r="B7120" t="s">
        <v>139</v>
      </c>
      <c r="C7120" s="1" t="str">
        <f>HYPERLINK("http://продеталь.рф/search.html?article=VW391015H0L00","VW391015H0L00")</f>
        <v>VW391015H0L00</v>
      </c>
      <c r="D7120" t="s">
        <v>9</v>
      </c>
    </row>
    <row r="7121" spans="1:4" outlineLevel="1" x14ac:dyDescent="0.25">
      <c r="A7121" t="s">
        <v>779</v>
      </c>
      <c r="B7121" t="s">
        <v>139</v>
      </c>
      <c r="C7121" s="1" t="str">
        <f>HYPERLINK("http://продеталь.рф/search.html?article=VW391015H0R00","VW391015H0R00")</f>
        <v>VW391015H0R00</v>
      </c>
      <c r="D7121" t="s">
        <v>9</v>
      </c>
    </row>
    <row r="7122" spans="1:4" outlineLevel="1" x14ac:dyDescent="0.25">
      <c r="A7122" t="s">
        <v>779</v>
      </c>
      <c r="B7122" t="s">
        <v>19</v>
      </c>
      <c r="C7122" s="1" t="str">
        <f>HYPERLINK("http://продеталь.рф/search.html?article=19A875A62B","19A875A62B")</f>
        <v>19A875A62B</v>
      </c>
      <c r="D7122" t="s">
        <v>4</v>
      </c>
    </row>
    <row r="7123" spans="1:4" outlineLevel="1" x14ac:dyDescent="0.25">
      <c r="A7123" t="s">
        <v>779</v>
      </c>
      <c r="B7123" t="s">
        <v>19</v>
      </c>
      <c r="C7123" s="1" t="str">
        <f>HYPERLINK("http://продеталь.рф/search.html?article=19A876A62B","19A876A62B")</f>
        <v>19A876A62B</v>
      </c>
      <c r="D7123" t="s">
        <v>4</v>
      </c>
    </row>
    <row r="7124" spans="1:4" outlineLevel="1" x14ac:dyDescent="0.25">
      <c r="A7124" t="s">
        <v>779</v>
      </c>
      <c r="B7124" t="s">
        <v>40</v>
      </c>
      <c r="C7124" s="1" t="str">
        <f>HYPERLINK("http://продеталь.рф/search.html?article=VW99079CAR","VW99079CAR")</f>
        <v>VW99079CAR</v>
      </c>
      <c r="D7124" t="s">
        <v>2</v>
      </c>
    </row>
    <row r="7125" spans="1:4" outlineLevel="1" x14ac:dyDescent="0.25">
      <c r="A7125" t="s">
        <v>779</v>
      </c>
      <c r="B7125" t="s">
        <v>40</v>
      </c>
      <c r="C7125" s="1" t="str">
        <f>HYPERLINK("http://продеталь.рф/search.html?article=VW99079CAL","VW99079CAL")</f>
        <v>VW99079CAL</v>
      </c>
      <c r="D7125" t="s">
        <v>2</v>
      </c>
    </row>
    <row r="7126" spans="1:4" outlineLevel="1" x14ac:dyDescent="0.25">
      <c r="A7126" t="s">
        <v>779</v>
      </c>
      <c r="B7126" t="s">
        <v>12</v>
      </c>
      <c r="C7126" s="1" t="str">
        <f>HYPERLINK("http://продеталь.рф/search.html?article=VW07089GB","VW07089GB")</f>
        <v>VW07089GB</v>
      </c>
      <c r="D7126" t="s">
        <v>2</v>
      </c>
    </row>
    <row r="7127" spans="1:4" outlineLevel="1" x14ac:dyDescent="0.25">
      <c r="A7127" t="s">
        <v>779</v>
      </c>
      <c r="B7127" t="s">
        <v>12</v>
      </c>
      <c r="C7127" s="1" t="str">
        <f>HYPERLINK("http://продеталь.рф/search.html?article=POL81","POL81")</f>
        <v>POL81</v>
      </c>
      <c r="D7127" t="s">
        <v>18</v>
      </c>
    </row>
    <row r="7128" spans="1:4" outlineLevel="1" x14ac:dyDescent="0.25">
      <c r="A7128" t="s">
        <v>779</v>
      </c>
      <c r="B7128" t="s">
        <v>71</v>
      </c>
      <c r="C7128" s="1" t="str">
        <f>HYPERLINK("http://продеталь.рф/search.html?article=PVW05028VA","PVW05028VA")</f>
        <v>PVW05028VA</v>
      </c>
      <c r="D7128" t="s">
        <v>6</v>
      </c>
    </row>
    <row r="7129" spans="1:4" outlineLevel="1" x14ac:dyDescent="0.25">
      <c r="A7129" t="s">
        <v>779</v>
      </c>
      <c r="B7129" t="s">
        <v>32</v>
      </c>
      <c r="C7129" s="1" t="str">
        <f>HYPERLINK("http://продеталь.рф/search.html?article=SVWM1028EL","SVWM1028EL")</f>
        <v>SVWM1028EL</v>
      </c>
      <c r="D7129" t="s">
        <v>6</v>
      </c>
    </row>
    <row r="7130" spans="1:4" outlineLevel="1" x14ac:dyDescent="0.25">
      <c r="A7130" t="s">
        <v>779</v>
      </c>
      <c r="B7130" t="s">
        <v>32</v>
      </c>
      <c r="C7130" s="1" t="str">
        <f>HYPERLINK("http://продеталь.рф/search.html?article=SVWM1028ER","SVWM1028ER")</f>
        <v>SVWM1028ER</v>
      </c>
      <c r="D7130" t="s">
        <v>6</v>
      </c>
    </row>
    <row r="7131" spans="1:4" outlineLevel="1" x14ac:dyDescent="0.25">
      <c r="A7131" t="s">
        <v>779</v>
      </c>
      <c r="B7131" t="s">
        <v>13</v>
      </c>
      <c r="C7131" s="1" t="str">
        <f>HYPERLINK("http://продеталь.рф/search.html?article=372VWF043","372VWF043")</f>
        <v>372VWF043</v>
      </c>
      <c r="D7131" t="s">
        <v>4</v>
      </c>
    </row>
    <row r="7132" spans="1:4" x14ac:dyDescent="0.25">
      <c r="A7132" t="s">
        <v>781</v>
      </c>
      <c r="B7132" s="2" t="s">
        <v>781</v>
      </c>
      <c r="C7132" s="2"/>
      <c r="D7132" s="2"/>
    </row>
    <row r="7133" spans="1:4" outlineLevel="1" x14ac:dyDescent="0.25">
      <c r="A7133" t="s">
        <v>781</v>
      </c>
      <c r="B7133" t="s">
        <v>11</v>
      </c>
      <c r="C7133" s="1" t="str">
        <f>HYPERLINK("http://продеталь.рф/search.html?article=VW04026BA","VW04026BA")</f>
        <v>VW04026BA</v>
      </c>
      <c r="D7133" t="s">
        <v>2</v>
      </c>
    </row>
    <row r="7134" spans="1:4" outlineLevel="1" x14ac:dyDescent="0.25">
      <c r="A7134" t="s">
        <v>781</v>
      </c>
      <c r="B7134" t="s">
        <v>11</v>
      </c>
      <c r="C7134" s="1" t="str">
        <f>HYPERLINK("http://продеталь.рф/search.html?article=VW04035BA","VW04035BA")</f>
        <v>VW04035BA</v>
      </c>
      <c r="D7134" t="s">
        <v>2</v>
      </c>
    </row>
    <row r="7135" spans="1:4" outlineLevel="1" x14ac:dyDescent="0.25">
      <c r="A7135" t="s">
        <v>781</v>
      </c>
      <c r="B7135" t="s">
        <v>79</v>
      </c>
      <c r="C7135" s="1" t="str">
        <f>HYPERLINK("http://продеталь.рф/search.html?article=8370007","8370007")</f>
        <v>8370007</v>
      </c>
      <c r="D7135" t="s">
        <v>4</v>
      </c>
    </row>
    <row r="7136" spans="1:4" outlineLevel="1" x14ac:dyDescent="0.25">
      <c r="A7136" t="s">
        <v>781</v>
      </c>
      <c r="B7136" t="s">
        <v>551</v>
      </c>
      <c r="C7136" s="1" t="str">
        <f>HYPERLINK("http://продеталь.рф/search.html?article=PVW77300A","PVW77300A")</f>
        <v>PVW77300A</v>
      </c>
      <c r="D7136" t="s">
        <v>6</v>
      </c>
    </row>
    <row r="7137" spans="1:4" outlineLevel="1" x14ac:dyDescent="0.25">
      <c r="A7137" t="s">
        <v>781</v>
      </c>
      <c r="B7137" t="s">
        <v>444</v>
      </c>
      <c r="C7137" s="1" t="str">
        <f>HYPERLINK("http://продеталь.рф/search.html?article=9504680","9504680")</f>
        <v>9504680</v>
      </c>
      <c r="D7137" t="s">
        <v>46</v>
      </c>
    </row>
    <row r="7138" spans="1:4" outlineLevel="1" x14ac:dyDescent="0.25">
      <c r="A7138" t="s">
        <v>781</v>
      </c>
      <c r="B7138" t="s">
        <v>35</v>
      </c>
      <c r="C7138" s="1" t="str">
        <f>HYPERLINK("http://продеталь.рф/search.html?article=310701","310701")</f>
        <v>310701</v>
      </c>
      <c r="D7138" t="s">
        <v>21</v>
      </c>
    </row>
    <row r="7139" spans="1:4" outlineLevel="1" x14ac:dyDescent="0.25">
      <c r="A7139" t="s">
        <v>781</v>
      </c>
      <c r="B7139" t="s">
        <v>1</v>
      </c>
      <c r="C7139" s="1" t="str">
        <f>HYPERLINK("http://продеталь.рф/search.html?article=VW20025A","VW20025A")</f>
        <v>VW20025A</v>
      </c>
      <c r="D7139" t="s">
        <v>2</v>
      </c>
    </row>
    <row r="7140" spans="1:4" outlineLevel="1" x14ac:dyDescent="0.25">
      <c r="A7140" t="s">
        <v>781</v>
      </c>
      <c r="B7140" t="s">
        <v>24</v>
      </c>
      <c r="C7140" s="1" t="str">
        <f>HYPERLINK("http://продеталь.рф/search.html?article=VW370161","VW370161")</f>
        <v>VW370161</v>
      </c>
      <c r="D7140" t="s">
        <v>9</v>
      </c>
    </row>
    <row r="7141" spans="1:4" outlineLevel="1" x14ac:dyDescent="0.25">
      <c r="A7141" t="s">
        <v>781</v>
      </c>
      <c r="B7141" t="s">
        <v>24</v>
      </c>
      <c r="C7141" s="1" t="str">
        <f>HYPERLINK("http://продеталь.рф/search.html?article=VW37016A2","VW37016A2")</f>
        <v>VW37016A2</v>
      </c>
      <c r="D7141" t="s">
        <v>9</v>
      </c>
    </row>
    <row r="7142" spans="1:4" outlineLevel="1" x14ac:dyDescent="0.25">
      <c r="A7142" t="s">
        <v>781</v>
      </c>
      <c r="B7142" t="s">
        <v>24</v>
      </c>
      <c r="C7142" s="1" t="str">
        <f>HYPERLINK("http://продеталь.рф/search.html?article=VW37016A1","VW37016A1")</f>
        <v>VW37016A1</v>
      </c>
      <c r="D7142" t="s">
        <v>9</v>
      </c>
    </row>
    <row r="7143" spans="1:4" outlineLevel="1" x14ac:dyDescent="0.25">
      <c r="A7143" t="s">
        <v>781</v>
      </c>
      <c r="B7143" t="s">
        <v>66</v>
      </c>
      <c r="C7143" s="1" t="str">
        <f>HYPERLINK("http://продеталь.рф/search.html?article=BK092","BK092")</f>
        <v>BK092</v>
      </c>
      <c r="D7143" t="s">
        <v>6</v>
      </c>
    </row>
    <row r="7144" spans="1:4" outlineLevel="1" x14ac:dyDescent="0.25">
      <c r="A7144" t="s">
        <v>781</v>
      </c>
      <c r="B7144" t="s">
        <v>50</v>
      </c>
      <c r="C7144" s="1" t="str">
        <f>HYPERLINK("http://продеталь.рф/search.html?article=242217","242217")</f>
        <v>242217</v>
      </c>
      <c r="D7144" t="s">
        <v>61</v>
      </c>
    </row>
    <row r="7145" spans="1:4" outlineLevel="1" x14ac:dyDescent="0.25">
      <c r="A7145" t="s">
        <v>781</v>
      </c>
      <c r="B7145" t="s">
        <v>50</v>
      </c>
      <c r="C7145" s="1" t="str">
        <f>HYPERLINK("http://продеталь.рф/search.html?article=VW07026MA","VW07026MA")</f>
        <v>VW07026MA</v>
      </c>
      <c r="D7145" t="s">
        <v>2</v>
      </c>
    </row>
    <row r="7146" spans="1:4" outlineLevel="1" x14ac:dyDescent="0.25">
      <c r="A7146" t="s">
        <v>781</v>
      </c>
      <c r="B7146" t="s">
        <v>27</v>
      </c>
      <c r="C7146" s="1" t="str">
        <f>HYPERLINK("http://продеталь.рф/search.html?article=VW37009B0","VW37009B0")</f>
        <v>VW37009B0</v>
      </c>
      <c r="D7146" t="s">
        <v>9</v>
      </c>
    </row>
    <row r="7147" spans="1:4" outlineLevel="1" x14ac:dyDescent="0.25">
      <c r="A7147" t="s">
        <v>781</v>
      </c>
      <c r="B7147" t="s">
        <v>3</v>
      </c>
      <c r="C7147" s="1" t="str">
        <f>HYPERLINK("http://продеталь.рф/search.html?article=206154052","206154052")</f>
        <v>206154052</v>
      </c>
      <c r="D7147" t="s">
        <v>4</v>
      </c>
    </row>
    <row r="7148" spans="1:4" outlineLevel="1" x14ac:dyDescent="0.25">
      <c r="A7148" t="s">
        <v>781</v>
      </c>
      <c r="B7148" t="s">
        <v>3</v>
      </c>
      <c r="C7148" s="1" t="str">
        <f>HYPERLINK("http://продеталь.рф/search.html?article=206153052","206153052")</f>
        <v>206153052</v>
      </c>
      <c r="D7148" t="s">
        <v>4</v>
      </c>
    </row>
    <row r="7149" spans="1:4" outlineLevel="1" x14ac:dyDescent="0.25">
      <c r="A7149" t="s">
        <v>781</v>
      </c>
      <c r="B7149" t="s">
        <v>5</v>
      </c>
      <c r="C7149" s="1" t="str">
        <f>HYPERLINK("http://продеталь.рф/search.html?article=211906","211906")</f>
        <v>211906</v>
      </c>
      <c r="D7149" t="s">
        <v>21</v>
      </c>
    </row>
    <row r="7150" spans="1:4" outlineLevel="1" x14ac:dyDescent="0.25">
      <c r="A7150" t="s">
        <v>781</v>
      </c>
      <c r="B7150" t="s">
        <v>5</v>
      </c>
      <c r="C7150" s="1" t="str">
        <f>HYPERLINK("http://продеталь.рф/search.html?article=211905","211905")</f>
        <v>211905</v>
      </c>
      <c r="D7150" t="s">
        <v>21</v>
      </c>
    </row>
    <row r="7151" spans="1:4" outlineLevel="1" x14ac:dyDescent="0.25">
      <c r="A7151" t="s">
        <v>781</v>
      </c>
      <c r="B7151" t="s">
        <v>19</v>
      </c>
      <c r="C7151" s="1" t="str">
        <f>HYPERLINK("http://продеталь.рф/search.html?article=190622052","190622052")</f>
        <v>190622052</v>
      </c>
      <c r="D7151" t="s">
        <v>4</v>
      </c>
    </row>
    <row r="7152" spans="1:4" outlineLevel="1" x14ac:dyDescent="0.25">
      <c r="A7152" t="s">
        <v>781</v>
      </c>
      <c r="B7152" t="s">
        <v>28</v>
      </c>
      <c r="C7152" s="1" t="str">
        <f>HYPERLINK("http://продеталь.рф/search.html?article=RA63995A","RA63995A")</f>
        <v>RA63995A</v>
      </c>
      <c r="D7152" t="s">
        <v>6</v>
      </c>
    </row>
    <row r="7153" spans="1:4" outlineLevel="1" x14ac:dyDescent="0.25">
      <c r="A7153" t="s">
        <v>781</v>
      </c>
      <c r="B7153" t="s">
        <v>28</v>
      </c>
      <c r="C7153" s="1" t="str">
        <f>HYPERLINK("http://продеталь.рф/search.html?article=7370040","7370040")</f>
        <v>7370040</v>
      </c>
      <c r="D7153" t="s">
        <v>4</v>
      </c>
    </row>
    <row r="7154" spans="1:4" outlineLevel="1" x14ac:dyDescent="0.25">
      <c r="A7154" t="s">
        <v>781</v>
      </c>
      <c r="B7154" t="s">
        <v>40</v>
      </c>
      <c r="C7154" s="1" t="str">
        <f>HYPERLINK("http://продеталь.рф/search.html?article=VW99001CL","VW99001CL")</f>
        <v>VW99001CL</v>
      </c>
      <c r="D7154" t="s">
        <v>2</v>
      </c>
    </row>
    <row r="7155" spans="1:4" outlineLevel="1" x14ac:dyDescent="0.25">
      <c r="A7155" t="s">
        <v>781</v>
      </c>
      <c r="B7155" t="s">
        <v>40</v>
      </c>
      <c r="C7155" s="1" t="str">
        <f>HYPERLINK("http://продеталь.рф/search.html?article=VW99001CR","VW99001CR")</f>
        <v>VW99001CR</v>
      </c>
      <c r="D7155" t="s">
        <v>2</v>
      </c>
    </row>
    <row r="7156" spans="1:4" outlineLevel="1" x14ac:dyDescent="0.25">
      <c r="A7156" t="s">
        <v>781</v>
      </c>
      <c r="B7156" t="s">
        <v>40</v>
      </c>
      <c r="C7156" s="1" t="str">
        <f>HYPERLINK("http://продеталь.рф/search.html?article=0915715","0915715")</f>
        <v>0915715</v>
      </c>
      <c r="D7156" t="s">
        <v>58</v>
      </c>
    </row>
    <row r="7157" spans="1:4" outlineLevel="1" x14ac:dyDescent="0.25">
      <c r="A7157" t="s">
        <v>781</v>
      </c>
      <c r="B7157" t="s">
        <v>12</v>
      </c>
      <c r="C7157" s="1" t="str">
        <f>HYPERLINK("http://продеталь.рф/search.html?article=VW07019GA","VW07019GA")</f>
        <v>VW07019GA</v>
      </c>
      <c r="D7157" t="s">
        <v>2</v>
      </c>
    </row>
    <row r="7158" spans="1:4" outlineLevel="1" x14ac:dyDescent="0.25">
      <c r="A7158" t="s">
        <v>781</v>
      </c>
      <c r="B7158" t="s">
        <v>71</v>
      </c>
      <c r="C7158" s="1" t="str">
        <f>HYPERLINK("http://продеталь.рф/search.html?article=0915701","0915701")</f>
        <v>0915701</v>
      </c>
      <c r="D7158" t="s">
        <v>58</v>
      </c>
    </row>
    <row r="7159" spans="1:4" outlineLevel="1" x14ac:dyDescent="0.25">
      <c r="A7159" t="s">
        <v>781</v>
      </c>
      <c r="B7159" t="s">
        <v>16</v>
      </c>
      <c r="C7159" s="1" t="str">
        <f>HYPERLINK("http://продеталь.рф/search.html?article=183587152","183587152")</f>
        <v>183587152</v>
      </c>
      <c r="D7159" t="s">
        <v>4</v>
      </c>
    </row>
    <row r="7160" spans="1:4" outlineLevel="1" x14ac:dyDescent="0.25">
      <c r="A7160" t="s">
        <v>781</v>
      </c>
      <c r="B7160" t="s">
        <v>16</v>
      </c>
      <c r="C7160" s="1" t="str">
        <f>HYPERLINK("http://продеталь.рф/search.html?article=185214052","185214052")</f>
        <v>185214052</v>
      </c>
      <c r="D7160" t="s">
        <v>4</v>
      </c>
    </row>
    <row r="7161" spans="1:4" outlineLevel="1" x14ac:dyDescent="0.25">
      <c r="A7161" t="s">
        <v>781</v>
      </c>
      <c r="B7161" t="s">
        <v>16</v>
      </c>
      <c r="C7161" s="1" t="str">
        <f>HYPERLINK("http://продеталь.рф/search.html?article=185213052","185213052")</f>
        <v>185213052</v>
      </c>
      <c r="D7161" t="s">
        <v>4</v>
      </c>
    </row>
    <row r="7162" spans="1:4" outlineLevel="1" x14ac:dyDescent="0.25">
      <c r="A7162" t="s">
        <v>781</v>
      </c>
      <c r="B7162" t="s">
        <v>16</v>
      </c>
      <c r="C7162" s="1" t="str">
        <f>HYPERLINK("http://продеталь.рф/search.html?article=185213152","185213152")</f>
        <v>185213152</v>
      </c>
      <c r="D7162" t="s">
        <v>4</v>
      </c>
    </row>
    <row r="7163" spans="1:4" x14ac:dyDescent="0.25">
      <c r="A7163" t="s">
        <v>782</v>
      </c>
      <c r="B7163" s="2" t="s">
        <v>782</v>
      </c>
      <c r="C7163" s="2"/>
      <c r="D7163" s="2"/>
    </row>
    <row r="7164" spans="1:4" outlineLevel="1" x14ac:dyDescent="0.25">
      <c r="A7164" t="s">
        <v>782</v>
      </c>
      <c r="B7164" t="s">
        <v>11</v>
      </c>
      <c r="C7164" s="1" t="str">
        <f>HYPERLINK("http://продеталь.рф/search.html?article=FDP50000","FDP50000")</f>
        <v>FDP50000</v>
      </c>
      <c r="D7164" t="s">
        <v>9</v>
      </c>
    </row>
    <row r="7165" spans="1:4" outlineLevel="1" x14ac:dyDescent="0.25">
      <c r="A7165" t="s">
        <v>782</v>
      </c>
      <c r="B7165" t="s">
        <v>15</v>
      </c>
      <c r="C7165" s="1" t="str">
        <f>HYPERLINK("http://продеталь.рф/search.html?article=3370074","3370074")</f>
        <v>3370074</v>
      </c>
      <c r="D7165" t="s">
        <v>4</v>
      </c>
    </row>
    <row r="7166" spans="1:4" outlineLevel="1" x14ac:dyDescent="0.25">
      <c r="A7166" t="s">
        <v>782</v>
      </c>
      <c r="B7166" t="s">
        <v>15</v>
      </c>
      <c r="C7166" s="1" t="str">
        <f>HYPERLINK("http://продеталь.рф/search.html?article=3370073","3370073")</f>
        <v>3370073</v>
      </c>
      <c r="D7166" t="s">
        <v>4</v>
      </c>
    </row>
    <row r="7167" spans="1:4" outlineLevel="1" x14ac:dyDescent="0.25">
      <c r="A7167" t="s">
        <v>782</v>
      </c>
      <c r="B7167" t="s">
        <v>35</v>
      </c>
      <c r="C7167" s="1" t="str">
        <f>HYPERLINK("http://продеталь.рф/search.html?article=310401","310401")</f>
        <v>310401</v>
      </c>
      <c r="D7167" t="s">
        <v>21</v>
      </c>
    </row>
    <row r="7168" spans="1:4" outlineLevel="1" x14ac:dyDescent="0.25">
      <c r="A7168" t="s">
        <v>782</v>
      </c>
      <c r="B7168" t="s">
        <v>1</v>
      </c>
      <c r="C7168" s="1" t="str">
        <f>HYPERLINK("http://продеталь.рф/search.html?article=VW20017B","VW20017B")</f>
        <v>VW20017B</v>
      </c>
      <c r="D7168" t="s">
        <v>2</v>
      </c>
    </row>
    <row r="7169" spans="1:4" outlineLevel="1" x14ac:dyDescent="0.25">
      <c r="A7169" t="s">
        <v>782</v>
      </c>
      <c r="B7169" t="s">
        <v>1</v>
      </c>
      <c r="C7169" s="1" t="str">
        <f>HYPERLINK("http://продеталь.рф/search.html?article=FDP50150","FDP50150")</f>
        <v>FDP50150</v>
      </c>
      <c r="D7169" t="s">
        <v>9</v>
      </c>
    </row>
    <row r="7170" spans="1:4" outlineLevel="1" x14ac:dyDescent="0.25">
      <c r="A7170" t="s">
        <v>782</v>
      </c>
      <c r="B7170" t="s">
        <v>24</v>
      </c>
      <c r="C7170" s="1" t="str">
        <f>HYPERLINK("http://продеталь.рф/search.html?article=VW10018AR","VW10018AR")</f>
        <v>VW10018AR</v>
      </c>
      <c r="D7170" t="s">
        <v>2</v>
      </c>
    </row>
    <row r="7171" spans="1:4" outlineLevel="1" x14ac:dyDescent="0.25">
      <c r="A7171" t="s">
        <v>782</v>
      </c>
      <c r="B7171" t="s">
        <v>27</v>
      </c>
      <c r="C7171" s="1" t="str">
        <f>HYPERLINK("http://продеталь.рф/search.html?article=VW650090","VW650090")</f>
        <v>VW650090</v>
      </c>
      <c r="D7171" t="s">
        <v>9</v>
      </c>
    </row>
    <row r="7172" spans="1:4" outlineLevel="1" x14ac:dyDescent="0.25">
      <c r="A7172" t="s">
        <v>782</v>
      </c>
      <c r="B7172" t="s">
        <v>3</v>
      </c>
      <c r="C7172" s="1" t="str">
        <f>HYPERLINK("http://продеталь.рф/search.html?article=205384082","205384082")</f>
        <v>205384082</v>
      </c>
      <c r="D7172" t="s">
        <v>4</v>
      </c>
    </row>
    <row r="7173" spans="1:4" outlineLevel="1" x14ac:dyDescent="0.25">
      <c r="A7173" t="s">
        <v>782</v>
      </c>
      <c r="B7173" t="s">
        <v>3</v>
      </c>
      <c r="C7173" s="1" t="str">
        <f>HYPERLINK("http://продеталь.рф/search.html?article=205383082","205383082")</f>
        <v>205383082</v>
      </c>
      <c r="D7173" t="s">
        <v>4</v>
      </c>
    </row>
    <row r="7174" spans="1:4" outlineLevel="1" x14ac:dyDescent="0.25">
      <c r="A7174" t="s">
        <v>782</v>
      </c>
      <c r="B7174" t="s">
        <v>3</v>
      </c>
      <c r="C7174" s="1" t="str">
        <f>HYPERLINK("http://продеталь.рф/search.html?article=205320082","205320082")</f>
        <v>205320082</v>
      </c>
      <c r="D7174" t="s">
        <v>4</v>
      </c>
    </row>
    <row r="7175" spans="1:4" outlineLevel="1" x14ac:dyDescent="0.25">
      <c r="A7175" t="s">
        <v>782</v>
      </c>
      <c r="B7175" t="s">
        <v>3</v>
      </c>
      <c r="C7175" s="1" t="str">
        <f>HYPERLINK("http://продеталь.рф/search.html?article=205319082","205319082")</f>
        <v>205319082</v>
      </c>
      <c r="D7175" t="s">
        <v>4</v>
      </c>
    </row>
    <row r="7176" spans="1:4" outlineLevel="1" x14ac:dyDescent="0.25">
      <c r="A7176" t="s">
        <v>782</v>
      </c>
      <c r="B7176" t="s">
        <v>5</v>
      </c>
      <c r="C7176" s="1" t="str">
        <f>HYPERLINK("http://продеталь.рф/search.html?article=212705","212705")</f>
        <v>212705</v>
      </c>
      <c r="D7176" t="s">
        <v>21</v>
      </c>
    </row>
    <row r="7177" spans="1:4" outlineLevel="1" x14ac:dyDescent="0.25">
      <c r="A7177" t="s">
        <v>782</v>
      </c>
      <c r="B7177" t="s">
        <v>19</v>
      </c>
      <c r="C7177" s="1" t="str">
        <f>HYPERLINK("http://продеталь.рф/search.html?article=195076052","195076052")</f>
        <v>195076052</v>
      </c>
      <c r="D7177" t="s">
        <v>4</v>
      </c>
    </row>
    <row r="7178" spans="1:4" outlineLevel="1" x14ac:dyDescent="0.25">
      <c r="A7178" t="s">
        <v>782</v>
      </c>
      <c r="B7178" t="s">
        <v>19</v>
      </c>
      <c r="C7178" s="1" t="str">
        <f>HYPERLINK("http://продеталь.рф/search.html?article=195075052","195075052")</f>
        <v>195075052</v>
      </c>
      <c r="D7178" t="s">
        <v>4</v>
      </c>
    </row>
    <row r="7179" spans="1:4" outlineLevel="1" x14ac:dyDescent="0.25">
      <c r="A7179" t="s">
        <v>782</v>
      </c>
      <c r="B7179" t="s">
        <v>40</v>
      </c>
      <c r="C7179" s="1" t="str">
        <f>HYPERLINK("http://продеталь.рф/search.html?article=FD07166GAL","FD07166GAL")</f>
        <v>FD07166GAL</v>
      </c>
      <c r="D7179" t="s">
        <v>2</v>
      </c>
    </row>
    <row r="7180" spans="1:4" outlineLevel="1" x14ac:dyDescent="0.25">
      <c r="A7180" t="s">
        <v>782</v>
      </c>
      <c r="B7180" t="s">
        <v>40</v>
      </c>
      <c r="C7180" s="1" t="str">
        <f>HYPERLINK("http://продеталь.рф/search.html?article=FD07166GAR","FD07166GAR")</f>
        <v>FD07166GAR</v>
      </c>
      <c r="D7180" t="s">
        <v>2</v>
      </c>
    </row>
    <row r="7181" spans="1:4" outlineLevel="1" x14ac:dyDescent="0.25">
      <c r="A7181" t="s">
        <v>782</v>
      </c>
      <c r="B7181" t="s">
        <v>40</v>
      </c>
      <c r="C7181" s="1" t="str">
        <f>HYPERLINK("http://продеталь.рф/search.html?article=VW650000B2L00","VW650000B2L00")</f>
        <v>VW650000B2L00</v>
      </c>
      <c r="D7181" t="s">
        <v>9</v>
      </c>
    </row>
    <row r="7182" spans="1:4" outlineLevel="1" x14ac:dyDescent="0.25">
      <c r="A7182" t="s">
        <v>782</v>
      </c>
      <c r="B7182" t="s">
        <v>40</v>
      </c>
      <c r="C7182" s="1" t="str">
        <f>HYPERLINK("http://продеталь.рф/search.html?article=VW650000B2R00","VW650000B2R00")</f>
        <v>VW650000B2R00</v>
      </c>
      <c r="D7182" t="s">
        <v>9</v>
      </c>
    </row>
    <row r="7183" spans="1:4" outlineLevel="1" x14ac:dyDescent="0.25">
      <c r="A7183" t="s">
        <v>782</v>
      </c>
      <c r="B7183" t="s">
        <v>12</v>
      </c>
      <c r="C7183" s="1" t="str">
        <f>HYPERLINK("http://продеталь.рф/search.html?article=VW07021GA","VW07021GA")</f>
        <v>VW07021GA</v>
      </c>
      <c r="D7183" t="s">
        <v>2</v>
      </c>
    </row>
    <row r="7184" spans="1:4" outlineLevel="1" x14ac:dyDescent="0.25">
      <c r="A7184" t="s">
        <v>782</v>
      </c>
      <c r="B7184" t="s">
        <v>16</v>
      </c>
      <c r="C7184" s="1" t="str">
        <f>HYPERLINK("http://продеталь.рф/search.html?article=185133052","185133052")</f>
        <v>185133052</v>
      </c>
      <c r="D7184" t="s">
        <v>4</v>
      </c>
    </row>
    <row r="7185" spans="1:4" outlineLevel="1" x14ac:dyDescent="0.25">
      <c r="A7185" t="s">
        <v>782</v>
      </c>
      <c r="B7185" t="s">
        <v>16</v>
      </c>
      <c r="C7185" s="1" t="str">
        <f>HYPERLINK("http://продеталь.рф/search.html?article=185134052","185134052")</f>
        <v>185134052</v>
      </c>
      <c r="D7185" t="s">
        <v>4</v>
      </c>
    </row>
    <row r="7186" spans="1:4" x14ac:dyDescent="0.25">
      <c r="A7186" t="s">
        <v>783</v>
      </c>
      <c r="B7186" s="2" t="s">
        <v>783</v>
      </c>
      <c r="C7186" s="2"/>
      <c r="D7186" s="2"/>
    </row>
    <row r="7187" spans="1:4" outlineLevel="1" x14ac:dyDescent="0.25">
      <c r="A7187" t="s">
        <v>783</v>
      </c>
      <c r="B7187" t="s">
        <v>15</v>
      </c>
      <c r="C7187" s="1" t="str">
        <f>HYPERLINK("http://продеталь.рф/search.html?article=3370120","3370120")</f>
        <v>3370120</v>
      </c>
      <c r="D7187" t="s">
        <v>4</v>
      </c>
    </row>
    <row r="7188" spans="1:4" outlineLevel="1" x14ac:dyDescent="0.25">
      <c r="A7188" t="s">
        <v>783</v>
      </c>
      <c r="B7188" t="s">
        <v>15</v>
      </c>
      <c r="C7188" s="1" t="str">
        <f>HYPERLINK("http://продеталь.рф/search.html?article=3370119","3370119")</f>
        <v>3370119</v>
      </c>
      <c r="D7188" t="s">
        <v>4</v>
      </c>
    </row>
    <row r="7189" spans="1:4" outlineLevel="1" x14ac:dyDescent="0.25">
      <c r="A7189" t="s">
        <v>783</v>
      </c>
      <c r="B7189" t="s">
        <v>1</v>
      </c>
      <c r="C7189" s="1" t="str">
        <f>HYPERLINK("http://продеталь.рф/search.html?article=UKS0217110","UKS0217110")</f>
        <v>UKS0217110</v>
      </c>
      <c r="D7189" t="s">
        <v>2</v>
      </c>
    </row>
    <row r="7190" spans="1:4" x14ac:dyDescent="0.25">
      <c r="A7190" t="s">
        <v>784</v>
      </c>
      <c r="B7190" s="2" t="s">
        <v>784</v>
      </c>
      <c r="C7190" s="2"/>
      <c r="D7190" s="2"/>
    </row>
    <row r="7191" spans="1:4" outlineLevel="1" x14ac:dyDescent="0.25">
      <c r="A7191" t="s">
        <v>784</v>
      </c>
      <c r="B7191" t="s">
        <v>240</v>
      </c>
      <c r="C7191" s="1" t="str">
        <f>HYPERLINK("http://продеталь.рф/search.html?article=388VWC153P","388VWC153P")</f>
        <v>388VWC153P</v>
      </c>
      <c r="D7191" t="s">
        <v>4</v>
      </c>
    </row>
    <row r="7192" spans="1:4" outlineLevel="1" x14ac:dyDescent="0.25">
      <c r="A7192" t="s">
        <v>784</v>
      </c>
      <c r="B7192" t="s">
        <v>27</v>
      </c>
      <c r="C7192" s="1" t="str">
        <f>HYPERLINK("http://продеталь.рф/search.html?article=VW03013A","VW03013A")</f>
        <v>VW03013A</v>
      </c>
      <c r="D7192" t="s">
        <v>2</v>
      </c>
    </row>
    <row r="7193" spans="1:4" outlineLevel="1" x14ac:dyDescent="0.25">
      <c r="A7193" t="s">
        <v>784</v>
      </c>
      <c r="B7193" t="s">
        <v>3</v>
      </c>
      <c r="C7193" s="1" t="str">
        <f>HYPERLINK("http://продеталь.рф/search.html?article=20B765052B","20B765052B")</f>
        <v>20B765052B</v>
      </c>
      <c r="D7193" t="s">
        <v>4</v>
      </c>
    </row>
    <row r="7194" spans="1:4" outlineLevel="1" x14ac:dyDescent="0.25">
      <c r="A7194" t="s">
        <v>784</v>
      </c>
      <c r="B7194" t="s">
        <v>5</v>
      </c>
      <c r="C7194" s="1" t="str">
        <f>HYPERLINK("http://продеталь.рф/search.html?article=211983","211983")</f>
        <v>211983</v>
      </c>
      <c r="D7194" t="s">
        <v>21</v>
      </c>
    </row>
    <row r="7195" spans="1:4" outlineLevel="1" x14ac:dyDescent="0.25">
      <c r="A7195" t="s">
        <v>784</v>
      </c>
      <c r="B7195" t="s">
        <v>5</v>
      </c>
      <c r="C7195" s="1" t="str">
        <f>HYPERLINK("http://продеталь.рф/search.html?article=PVW11070AR","PVW11070AR")</f>
        <v>PVW11070AR</v>
      </c>
      <c r="D7195" t="s">
        <v>6</v>
      </c>
    </row>
    <row r="7196" spans="1:4" outlineLevel="1" x14ac:dyDescent="0.25">
      <c r="A7196" t="s">
        <v>784</v>
      </c>
      <c r="B7196" t="s">
        <v>32</v>
      </c>
      <c r="C7196" s="1" t="str">
        <f>HYPERLINK("http://продеталь.рф/search.html?article=SVWM1050AGLE","SVWM1050AGLE")</f>
        <v>SVWM1050AGLE</v>
      </c>
      <c r="D7196" t="s">
        <v>6</v>
      </c>
    </row>
    <row r="7197" spans="1:4" outlineLevel="1" x14ac:dyDescent="0.25">
      <c r="A7197" t="s">
        <v>784</v>
      </c>
      <c r="B7197" t="s">
        <v>32</v>
      </c>
      <c r="C7197" s="1" t="str">
        <f>HYPERLINK("http://продеталь.рф/search.html?article=SVWM1050AGRE","SVWM1050AGRE")</f>
        <v>SVWM1050AGRE</v>
      </c>
      <c r="D7197" t="s">
        <v>6</v>
      </c>
    </row>
    <row r="7198" spans="1:4" x14ac:dyDescent="0.25">
      <c r="A7198" t="s">
        <v>785</v>
      </c>
      <c r="B7198" s="2" t="s">
        <v>785</v>
      </c>
      <c r="C7198" s="2"/>
      <c r="D7198" s="2"/>
    </row>
    <row r="7199" spans="1:4" outlineLevel="1" x14ac:dyDescent="0.25">
      <c r="A7199" t="s">
        <v>785</v>
      </c>
      <c r="B7199" t="s">
        <v>83</v>
      </c>
      <c r="C7199" s="1" t="str">
        <f>HYPERLINK("http://продеталь.рф/search.html?article=PVW99119DL","PVW99119DL")</f>
        <v>PVW99119DL</v>
      </c>
      <c r="D7199" t="s">
        <v>6</v>
      </c>
    </row>
    <row r="7200" spans="1:4" outlineLevel="1" x14ac:dyDescent="0.25">
      <c r="A7200" t="s">
        <v>785</v>
      </c>
      <c r="B7200" t="s">
        <v>83</v>
      </c>
      <c r="C7200" s="1" t="str">
        <f>HYPERLINK("http://продеталь.рф/search.html?article=PVW99119DR","PVW99119DR")</f>
        <v>PVW99119DR</v>
      </c>
      <c r="D7200" t="s">
        <v>6</v>
      </c>
    </row>
    <row r="7201" spans="1:4" outlineLevel="1" x14ac:dyDescent="0.25">
      <c r="A7201" t="s">
        <v>785</v>
      </c>
      <c r="B7201" t="s">
        <v>5</v>
      </c>
      <c r="C7201" s="1" t="str">
        <f>HYPERLINK("http://продеталь.рф/search.html?article=VW11071AL","VW11071AL")</f>
        <v>VW11071AL</v>
      </c>
      <c r="D7201" t="s">
        <v>2</v>
      </c>
    </row>
    <row r="7202" spans="1:4" outlineLevel="1" x14ac:dyDescent="0.25">
      <c r="A7202" t="s">
        <v>785</v>
      </c>
      <c r="B7202" t="s">
        <v>5</v>
      </c>
      <c r="C7202" s="1" t="str">
        <f>HYPERLINK("http://продеталь.рф/search.html?article=VW11071AR","VW11071AR")</f>
        <v>VW11071AR</v>
      </c>
      <c r="D7202" t="s">
        <v>2</v>
      </c>
    </row>
    <row r="7203" spans="1:4" outlineLevel="1" x14ac:dyDescent="0.25">
      <c r="A7203" t="s">
        <v>785</v>
      </c>
      <c r="B7203" t="s">
        <v>30</v>
      </c>
      <c r="C7203" s="1" t="str">
        <f>HYPERLINK("http://продеталь.рф/search.html?article=PVW99034CAL","PVW99034CAL")</f>
        <v>PVW99034CAL</v>
      </c>
      <c r="D7203" t="s">
        <v>6</v>
      </c>
    </row>
    <row r="7204" spans="1:4" outlineLevel="1" x14ac:dyDescent="0.25">
      <c r="A7204" t="s">
        <v>785</v>
      </c>
      <c r="B7204" t="s">
        <v>40</v>
      </c>
      <c r="C7204" s="1" t="str">
        <f>HYPERLINK("http://продеталь.рф/search.html?article=PVW99118GAL","PVW99118GAL")</f>
        <v>PVW99118GAL</v>
      </c>
      <c r="D7204" t="s">
        <v>6</v>
      </c>
    </row>
    <row r="7205" spans="1:4" outlineLevel="1" x14ac:dyDescent="0.25">
      <c r="A7205" t="s">
        <v>785</v>
      </c>
      <c r="B7205" t="s">
        <v>40</v>
      </c>
      <c r="C7205" s="1" t="str">
        <f>HYPERLINK("http://продеталь.рф/search.html?article=PVW99118GA","PVW99118GA")</f>
        <v>PVW99118GA</v>
      </c>
      <c r="D7205" t="s">
        <v>6</v>
      </c>
    </row>
    <row r="7206" spans="1:4" outlineLevel="1" x14ac:dyDescent="0.25">
      <c r="A7206" t="s">
        <v>785</v>
      </c>
      <c r="B7206" t="s">
        <v>40</v>
      </c>
      <c r="C7206" s="1" t="str">
        <f>HYPERLINK("http://продеталь.рф/search.html?article=PVW99118GAR","PVW99118GAR")</f>
        <v>PVW99118GAR</v>
      </c>
      <c r="D7206" t="s">
        <v>6</v>
      </c>
    </row>
    <row r="7207" spans="1:4" outlineLevel="1" x14ac:dyDescent="0.25">
      <c r="A7207" t="s">
        <v>785</v>
      </c>
      <c r="B7207" t="s">
        <v>71</v>
      </c>
      <c r="C7207" s="1" t="str">
        <f>HYPERLINK("http://продеталь.рф/search.html?article=PVW02019VA","PVW02019VA")</f>
        <v>PVW02019VA</v>
      </c>
      <c r="D7207" t="s">
        <v>6</v>
      </c>
    </row>
    <row r="7208" spans="1:4" x14ac:dyDescent="0.25">
      <c r="A7208" t="s">
        <v>786</v>
      </c>
      <c r="B7208" s="2" t="s">
        <v>786</v>
      </c>
      <c r="C7208" s="2"/>
      <c r="D7208" s="2"/>
    </row>
    <row r="7209" spans="1:4" outlineLevel="1" x14ac:dyDescent="0.25">
      <c r="A7209" t="s">
        <v>786</v>
      </c>
      <c r="B7209" t="s">
        <v>11</v>
      </c>
      <c r="C7209" s="1" t="str">
        <f>HYPERLINK("http://продеталь.рф/search.html?article=VW04068BA","VW04068BA")</f>
        <v>VW04068BA</v>
      </c>
      <c r="D7209" t="s">
        <v>2</v>
      </c>
    </row>
    <row r="7210" spans="1:4" outlineLevel="1" x14ac:dyDescent="0.25">
      <c r="A7210" t="s">
        <v>786</v>
      </c>
      <c r="B7210" t="s">
        <v>15</v>
      </c>
      <c r="C7210" s="1" t="str">
        <f>HYPERLINK("http://продеталь.рф/search.html?article=388VWD148TPAL","388VWD148TPAL")</f>
        <v>388VWD148TPAL</v>
      </c>
      <c r="D7210" t="s">
        <v>4</v>
      </c>
    </row>
    <row r="7211" spans="1:4" outlineLevel="1" x14ac:dyDescent="0.25">
      <c r="A7211" t="s">
        <v>786</v>
      </c>
      <c r="B7211" t="s">
        <v>15</v>
      </c>
      <c r="C7211" s="1" t="str">
        <f>HYPERLINK("http://продеталь.рф/search.html?article=388VWD147TPL","388VWD147TPL")</f>
        <v>388VWD147TPL</v>
      </c>
      <c r="D7211" t="s">
        <v>4</v>
      </c>
    </row>
    <row r="7212" spans="1:4" outlineLevel="1" x14ac:dyDescent="0.25">
      <c r="A7212" t="s">
        <v>786</v>
      </c>
      <c r="B7212" t="s">
        <v>23</v>
      </c>
      <c r="C7212" s="1" t="str">
        <f>HYPERLINK("http://продеталь.рф/search.html?article=11B671012B","11B671012B")</f>
        <v>11B671012B</v>
      </c>
      <c r="D7212" t="s">
        <v>4</v>
      </c>
    </row>
    <row r="7213" spans="1:4" outlineLevel="1" x14ac:dyDescent="0.25">
      <c r="A7213" t="s">
        <v>786</v>
      </c>
      <c r="B7213" t="s">
        <v>24</v>
      </c>
      <c r="C7213" s="1" t="str">
        <f>HYPERLINK("http://продеталь.рф/search.html?article=VW450161","VW450161")</f>
        <v>VW450161</v>
      </c>
      <c r="D7213" t="s">
        <v>9</v>
      </c>
    </row>
    <row r="7214" spans="1:4" outlineLevel="1" x14ac:dyDescent="0.25">
      <c r="A7214" t="s">
        <v>786</v>
      </c>
      <c r="B7214" t="s">
        <v>27</v>
      </c>
      <c r="C7214" s="1" t="str">
        <f>HYPERLINK("http://продеталь.рф/search.html?article=PVW30026A","PVW30026A")</f>
        <v>PVW30026A</v>
      </c>
      <c r="D7214" t="s">
        <v>6</v>
      </c>
    </row>
    <row r="7215" spans="1:4" outlineLevel="1" x14ac:dyDescent="0.25">
      <c r="A7215" t="s">
        <v>786</v>
      </c>
      <c r="B7215" t="s">
        <v>5</v>
      </c>
      <c r="C7215" s="1" t="str">
        <f>HYPERLINK("http://продеталь.рф/search.html?article=211969","211969")</f>
        <v>211969</v>
      </c>
      <c r="D7215" t="s">
        <v>21</v>
      </c>
    </row>
    <row r="7216" spans="1:4" outlineLevel="1" x14ac:dyDescent="0.25">
      <c r="A7216" t="s">
        <v>786</v>
      </c>
      <c r="B7216" t="s">
        <v>5</v>
      </c>
      <c r="C7216" s="1" t="str">
        <f>HYPERLINK("http://продеталь.рф/search.html?article=211970","211970")</f>
        <v>211970</v>
      </c>
      <c r="D7216" t="s">
        <v>21</v>
      </c>
    </row>
    <row r="7217" spans="1:4" outlineLevel="1" x14ac:dyDescent="0.25">
      <c r="A7217" t="s">
        <v>786</v>
      </c>
      <c r="B7217" t="s">
        <v>19</v>
      </c>
      <c r="C7217" s="1" t="str">
        <f>HYPERLINK("http://продеталь.рф/search.html?article=190445012","190445012")</f>
        <v>190445012</v>
      </c>
      <c r="D7217" t="s">
        <v>4</v>
      </c>
    </row>
    <row r="7218" spans="1:4" outlineLevel="1" x14ac:dyDescent="0.25">
      <c r="A7218" t="s">
        <v>786</v>
      </c>
      <c r="B7218" t="s">
        <v>8</v>
      </c>
      <c r="C7218" s="1" t="str">
        <f>HYPERLINK("http://продеталь.рф/search.html?article=RC94690","RC94690")</f>
        <v>RC94690</v>
      </c>
      <c r="D7218" t="s">
        <v>6</v>
      </c>
    </row>
    <row r="7219" spans="1:4" outlineLevel="1" x14ac:dyDescent="0.25">
      <c r="A7219" t="s">
        <v>786</v>
      </c>
      <c r="B7219" t="s">
        <v>40</v>
      </c>
      <c r="C7219" s="1" t="str">
        <f>HYPERLINK("http://продеталь.рф/search.html?article=PVW99029L","PVW99029L")</f>
        <v>PVW99029L</v>
      </c>
      <c r="D7219" t="s">
        <v>6</v>
      </c>
    </row>
    <row r="7220" spans="1:4" outlineLevel="1" x14ac:dyDescent="0.25">
      <c r="A7220" t="s">
        <v>786</v>
      </c>
      <c r="B7220" t="s">
        <v>40</v>
      </c>
      <c r="C7220" s="1" t="str">
        <f>HYPERLINK("http://продеталь.рф/search.html?article=PVW99029R","PVW99029R")</f>
        <v>PVW99029R</v>
      </c>
      <c r="D7220" t="s">
        <v>6</v>
      </c>
    </row>
    <row r="7221" spans="1:4" outlineLevel="1" x14ac:dyDescent="0.25">
      <c r="A7221" t="s">
        <v>786</v>
      </c>
      <c r="B7221" t="s">
        <v>12</v>
      </c>
      <c r="C7221" s="1" t="str">
        <f>HYPERLINK("http://продеталь.рф/search.html?article=PVW07046GB","PVW07046GB")</f>
        <v>PVW07046GB</v>
      </c>
      <c r="D7221" t="s">
        <v>6</v>
      </c>
    </row>
    <row r="7222" spans="1:4" outlineLevel="1" x14ac:dyDescent="0.25">
      <c r="A7222" t="s">
        <v>786</v>
      </c>
      <c r="B7222" t="s">
        <v>32</v>
      </c>
      <c r="C7222" s="1" t="str">
        <f>HYPERLINK("http://продеталь.рф/search.html?article=SVWM1026ER","SVWM1026ER")</f>
        <v>SVWM1026ER</v>
      </c>
      <c r="D7222" t="s">
        <v>6</v>
      </c>
    </row>
    <row r="7223" spans="1:4" x14ac:dyDescent="0.25">
      <c r="A7223" t="s">
        <v>787</v>
      </c>
      <c r="B7223" s="2" t="s">
        <v>787</v>
      </c>
      <c r="C7223" s="2"/>
      <c r="D7223" s="2"/>
    </row>
    <row r="7224" spans="1:4" outlineLevel="1" x14ac:dyDescent="0.25">
      <c r="A7224" t="s">
        <v>787</v>
      </c>
      <c r="B7224" t="s">
        <v>23</v>
      </c>
      <c r="C7224" s="1" t="str">
        <f>HYPERLINK("http://продеталь.рф/search.html?article=11B674A12B","11B674A12B")</f>
        <v>11B674A12B</v>
      </c>
      <c r="D7224" t="s">
        <v>4</v>
      </c>
    </row>
    <row r="7225" spans="1:4" outlineLevel="1" x14ac:dyDescent="0.25">
      <c r="A7225" t="s">
        <v>787</v>
      </c>
      <c r="B7225" t="s">
        <v>1</v>
      </c>
      <c r="C7225" s="1" t="str">
        <f>HYPERLINK("http://продеталь.рф/search.html?article=VW20049A","VW20049A")</f>
        <v>VW20049A</v>
      </c>
      <c r="D7225" t="s">
        <v>2</v>
      </c>
    </row>
    <row r="7226" spans="1:4" outlineLevel="1" x14ac:dyDescent="0.25">
      <c r="A7226" t="s">
        <v>787</v>
      </c>
      <c r="B7226" t="s">
        <v>24</v>
      </c>
      <c r="C7226" s="1" t="str">
        <f>HYPERLINK("http://продеталь.рф/search.html?article=VW10076AR","VW10076AR")</f>
        <v>VW10076AR</v>
      </c>
      <c r="D7226" t="s">
        <v>2</v>
      </c>
    </row>
    <row r="7227" spans="1:4" outlineLevel="1" x14ac:dyDescent="0.25">
      <c r="A7227" t="s">
        <v>787</v>
      </c>
      <c r="B7227" t="s">
        <v>24</v>
      </c>
      <c r="C7227" s="1" t="str">
        <f>HYPERLINK("http://продеталь.рф/search.html?article=VW10076AL","VW10076AL")</f>
        <v>VW10076AL</v>
      </c>
      <c r="D7227" t="s">
        <v>2</v>
      </c>
    </row>
    <row r="7228" spans="1:4" outlineLevel="1" x14ac:dyDescent="0.25">
      <c r="A7228" t="s">
        <v>787</v>
      </c>
      <c r="B7228" t="s">
        <v>26</v>
      </c>
      <c r="C7228" s="1" t="str">
        <f>HYPERLINK("http://продеталь.рф/search.html?article=PVW04140MAR","PVW04140MAR")</f>
        <v>PVW04140MAR</v>
      </c>
      <c r="D7228" t="s">
        <v>6</v>
      </c>
    </row>
    <row r="7229" spans="1:4" outlineLevel="1" x14ac:dyDescent="0.25">
      <c r="A7229" t="s">
        <v>787</v>
      </c>
      <c r="B7229" t="s">
        <v>27</v>
      </c>
      <c r="C7229" s="1" t="str">
        <f>HYPERLINK("http://продеталь.рф/search.html?article=PVW30012A","PVW30012A")</f>
        <v>PVW30012A</v>
      </c>
      <c r="D7229" t="s">
        <v>6</v>
      </c>
    </row>
    <row r="7230" spans="1:4" outlineLevel="1" x14ac:dyDescent="0.25">
      <c r="A7230" t="s">
        <v>787</v>
      </c>
      <c r="B7230" t="s">
        <v>5</v>
      </c>
      <c r="C7230" s="1" t="str">
        <f>HYPERLINK("http://продеталь.рф/search.html?article=211980","211980")</f>
        <v>211980</v>
      </c>
      <c r="D7230" t="s">
        <v>21</v>
      </c>
    </row>
    <row r="7231" spans="1:4" outlineLevel="1" x14ac:dyDescent="0.25">
      <c r="A7231" t="s">
        <v>787</v>
      </c>
      <c r="B7231" t="s">
        <v>5</v>
      </c>
      <c r="C7231" s="1" t="str">
        <f>HYPERLINK("http://продеталь.рф/search.html?article=211979","211979")</f>
        <v>211979</v>
      </c>
      <c r="D7231" t="s">
        <v>21</v>
      </c>
    </row>
    <row r="7232" spans="1:4" outlineLevel="1" x14ac:dyDescent="0.25">
      <c r="A7232" t="s">
        <v>787</v>
      </c>
      <c r="B7232" t="s">
        <v>19</v>
      </c>
      <c r="C7232" s="1" t="str">
        <f>HYPERLINK("http://продеталь.рф/search.html?article=19A825019B","19A825019B")</f>
        <v>19A825019B</v>
      </c>
      <c r="D7232" t="s">
        <v>4</v>
      </c>
    </row>
    <row r="7233" spans="1:4" outlineLevel="1" x14ac:dyDescent="0.25">
      <c r="A7233" t="s">
        <v>787</v>
      </c>
      <c r="B7233" t="s">
        <v>40</v>
      </c>
      <c r="C7233" s="1" t="str">
        <f>HYPERLINK("http://продеталь.рф/search.html?article=PVW99116GL","PVW99116GL")</f>
        <v>PVW99116GL</v>
      </c>
      <c r="D7233" t="s">
        <v>6</v>
      </c>
    </row>
    <row r="7234" spans="1:4" outlineLevel="1" x14ac:dyDescent="0.25">
      <c r="A7234" t="s">
        <v>787</v>
      </c>
      <c r="B7234" t="s">
        <v>788</v>
      </c>
      <c r="C7234" s="1" t="str">
        <f>HYPERLINK("http://продеталь.рф/search.html?article=PVW70001AK","PVW70001AK")</f>
        <v>PVW70001AK</v>
      </c>
      <c r="D7234" t="s">
        <v>6</v>
      </c>
    </row>
    <row r="7235" spans="1:4" x14ac:dyDescent="0.25">
      <c r="A7235" t="s">
        <v>789</v>
      </c>
      <c r="B7235" s="2" t="s">
        <v>789</v>
      </c>
      <c r="C7235" s="2"/>
      <c r="D7235" s="2"/>
    </row>
    <row r="7236" spans="1:4" outlineLevel="1" x14ac:dyDescent="0.25">
      <c r="A7236" t="s">
        <v>789</v>
      </c>
      <c r="B7236" t="s">
        <v>27</v>
      </c>
      <c r="C7236" s="1" t="str">
        <f>HYPERLINK("http://продеталь.рф/search.html?article=VW03027A","VW03027A")</f>
        <v>VW03027A</v>
      </c>
      <c r="D7236" t="s">
        <v>2</v>
      </c>
    </row>
    <row r="7237" spans="1:4" x14ac:dyDescent="0.25">
      <c r="A7237" t="s">
        <v>790</v>
      </c>
      <c r="B7237" s="2" t="s">
        <v>790</v>
      </c>
      <c r="C7237" s="2"/>
      <c r="D7237" s="2"/>
    </row>
    <row r="7238" spans="1:4" outlineLevel="1" x14ac:dyDescent="0.25">
      <c r="A7238" t="s">
        <v>790</v>
      </c>
      <c r="B7238" t="s">
        <v>45</v>
      </c>
      <c r="C7238" s="1" t="str">
        <f>HYPERLINK("http://продеталь.рф/search.html?article=9557592","9557592")</f>
        <v>9557592</v>
      </c>
      <c r="D7238" t="s">
        <v>46</v>
      </c>
    </row>
    <row r="7239" spans="1:4" outlineLevel="1" x14ac:dyDescent="0.25">
      <c r="A7239" t="s">
        <v>790</v>
      </c>
      <c r="B7239" t="s">
        <v>45</v>
      </c>
      <c r="C7239" s="1" t="str">
        <f>HYPERLINK("http://продеталь.рф/search.html?article=9557591","9557591")</f>
        <v>9557591</v>
      </c>
      <c r="D7239" t="s">
        <v>46</v>
      </c>
    </row>
    <row r="7240" spans="1:4" x14ac:dyDescent="0.25">
      <c r="A7240" t="s">
        <v>791</v>
      </c>
      <c r="B7240" s="2" t="s">
        <v>791</v>
      </c>
      <c r="C7240" s="2"/>
      <c r="D7240" s="2"/>
    </row>
    <row r="7241" spans="1:4" outlineLevel="1" x14ac:dyDescent="0.25">
      <c r="A7241" t="s">
        <v>791</v>
      </c>
      <c r="B7241" t="s">
        <v>280</v>
      </c>
      <c r="C7241" s="1" t="str">
        <f>HYPERLINK("http://продеталь.рф/search.html?article=9558331","9558331")</f>
        <v>9558331</v>
      </c>
      <c r="D7241" t="s">
        <v>46</v>
      </c>
    </row>
    <row r="7242" spans="1:4" outlineLevel="1" x14ac:dyDescent="0.25">
      <c r="A7242" t="s">
        <v>791</v>
      </c>
      <c r="B7242" t="s">
        <v>280</v>
      </c>
      <c r="C7242" s="1" t="str">
        <f>HYPERLINK("http://продеталь.рф/search.html?article=9558332","9558332")</f>
        <v>9558332</v>
      </c>
      <c r="D7242" t="s">
        <v>46</v>
      </c>
    </row>
    <row r="7243" spans="1:4" outlineLevel="1" x14ac:dyDescent="0.25">
      <c r="A7243" t="s">
        <v>791</v>
      </c>
      <c r="B7243" t="s">
        <v>11</v>
      </c>
      <c r="C7243" s="1" t="str">
        <f>HYPERLINK("http://продеталь.рф/search.html?article=VW76087S0","VW76087S0")</f>
        <v>VW76087S0</v>
      </c>
      <c r="D7243" t="s">
        <v>9</v>
      </c>
    </row>
    <row r="7244" spans="1:4" outlineLevel="1" x14ac:dyDescent="0.25">
      <c r="A7244" t="s">
        <v>791</v>
      </c>
      <c r="B7244" t="s">
        <v>11</v>
      </c>
      <c r="C7244" s="1" t="str">
        <f>HYPERLINK("http://продеталь.рф/search.html?article=VW04028BAZ","VW04028BAZ")</f>
        <v>VW04028BAZ</v>
      </c>
      <c r="D7244" t="s">
        <v>99</v>
      </c>
    </row>
    <row r="7245" spans="1:4" outlineLevel="1" x14ac:dyDescent="0.25">
      <c r="A7245" t="s">
        <v>791</v>
      </c>
      <c r="B7245" t="s">
        <v>11</v>
      </c>
      <c r="C7245" s="1" t="str">
        <f>HYPERLINK("http://продеталь.рф/search.html?article=VW04051BA","VW04051BA")</f>
        <v>VW04051BA</v>
      </c>
      <c r="D7245" t="s">
        <v>2</v>
      </c>
    </row>
    <row r="7246" spans="1:4" outlineLevel="1" x14ac:dyDescent="0.25">
      <c r="A7246" t="s">
        <v>791</v>
      </c>
      <c r="B7246" t="s">
        <v>11</v>
      </c>
      <c r="C7246" s="1" t="str">
        <f>HYPERLINK("http://продеталь.рф/search.html?article=VW04052BA","VW04052BA")</f>
        <v>VW04052BA</v>
      </c>
      <c r="D7246" t="s">
        <v>2</v>
      </c>
    </row>
    <row r="7247" spans="1:4" outlineLevel="1" x14ac:dyDescent="0.25">
      <c r="A7247" t="s">
        <v>791</v>
      </c>
      <c r="B7247" t="s">
        <v>11</v>
      </c>
      <c r="C7247" s="1" t="str">
        <f>HYPERLINK("http://продеталь.рф/search.html?article=VW76000B0","VW76000B0")</f>
        <v>VW76000B0</v>
      </c>
      <c r="D7247" t="s">
        <v>9</v>
      </c>
    </row>
    <row r="7248" spans="1:4" outlineLevel="1" x14ac:dyDescent="0.25">
      <c r="A7248" t="s">
        <v>791</v>
      </c>
      <c r="B7248" t="s">
        <v>184</v>
      </c>
      <c r="C7248" s="1" t="str">
        <f>HYPERLINK("http://продеталь.рф/search.html?article=VW04036PAR","VW04036PAR")</f>
        <v>VW04036PAR</v>
      </c>
      <c r="D7248" t="s">
        <v>2</v>
      </c>
    </row>
    <row r="7249" spans="1:4" outlineLevel="1" x14ac:dyDescent="0.25">
      <c r="A7249" t="s">
        <v>791</v>
      </c>
      <c r="B7249" t="s">
        <v>184</v>
      </c>
      <c r="C7249" s="1" t="str">
        <f>HYPERLINK("http://продеталь.рф/search.html?article=362VWR010","362VWR010")</f>
        <v>362VWR010</v>
      </c>
      <c r="D7249" t="s">
        <v>4</v>
      </c>
    </row>
    <row r="7250" spans="1:4" outlineLevel="1" x14ac:dyDescent="0.25">
      <c r="A7250" t="s">
        <v>791</v>
      </c>
      <c r="B7250" t="s">
        <v>15</v>
      </c>
      <c r="C7250" s="1" t="str">
        <f>HYPERLINK("http://продеталь.рф/search.html?article=3370084","3370084")</f>
        <v>3370084</v>
      </c>
      <c r="D7250" t="s">
        <v>4</v>
      </c>
    </row>
    <row r="7251" spans="1:4" outlineLevel="1" x14ac:dyDescent="0.25">
      <c r="A7251" t="s">
        <v>791</v>
      </c>
      <c r="B7251" t="s">
        <v>15</v>
      </c>
      <c r="C7251" s="1" t="str">
        <f>HYPERLINK("http://продеталь.рф/search.html?article=3370083","3370083")</f>
        <v>3370083</v>
      </c>
      <c r="D7251" t="s">
        <v>4</v>
      </c>
    </row>
    <row r="7252" spans="1:4" outlineLevel="1" x14ac:dyDescent="0.25">
      <c r="A7252" t="s">
        <v>791</v>
      </c>
      <c r="B7252" t="s">
        <v>15</v>
      </c>
      <c r="C7252" s="1" t="str">
        <f>HYPERLINK("http://продеталь.рф/search.html?article=3370086","3370086")</f>
        <v>3370086</v>
      </c>
      <c r="D7252" t="s">
        <v>4</v>
      </c>
    </row>
    <row r="7253" spans="1:4" outlineLevel="1" x14ac:dyDescent="0.25">
      <c r="A7253" t="s">
        <v>791</v>
      </c>
      <c r="B7253" t="s">
        <v>15</v>
      </c>
      <c r="C7253" s="1" t="str">
        <f>HYPERLINK("http://продеталь.рф/search.html?article=VVWM1006ER","VVWM1006ER")</f>
        <v>VVWM1006ER</v>
      </c>
      <c r="D7253" t="s">
        <v>6</v>
      </c>
    </row>
    <row r="7254" spans="1:4" outlineLevel="1" x14ac:dyDescent="0.25">
      <c r="A7254" t="s">
        <v>791</v>
      </c>
      <c r="B7254" t="s">
        <v>282</v>
      </c>
      <c r="C7254" s="1" t="str">
        <f>HYPERLINK("http://продеталь.рф/search.html?article=9558153","9558153")</f>
        <v>9558153</v>
      </c>
      <c r="D7254" t="s">
        <v>46</v>
      </c>
    </row>
    <row r="7255" spans="1:4" outlineLevel="1" x14ac:dyDescent="0.25">
      <c r="A7255" t="s">
        <v>791</v>
      </c>
      <c r="B7255" t="s">
        <v>282</v>
      </c>
      <c r="C7255" s="1" t="str">
        <f>HYPERLINK("http://продеталь.рф/search.html?article=9558001","9558001")</f>
        <v>9558001</v>
      </c>
      <c r="D7255" t="s">
        <v>46</v>
      </c>
    </row>
    <row r="7256" spans="1:4" outlineLevel="1" x14ac:dyDescent="0.25">
      <c r="A7256" t="s">
        <v>791</v>
      </c>
      <c r="B7256" t="s">
        <v>23</v>
      </c>
      <c r="C7256" s="1" t="str">
        <f>HYPERLINK("http://продеталь.рф/search.html?article=ZVW1919L","ZVW1919L")</f>
        <v>ZVW1919L</v>
      </c>
      <c r="D7256" t="s">
        <v>6</v>
      </c>
    </row>
    <row r="7257" spans="1:4" outlineLevel="1" x14ac:dyDescent="0.25">
      <c r="A7257" t="s">
        <v>791</v>
      </c>
      <c r="B7257" t="s">
        <v>23</v>
      </c>
      <c r="C7257" s="1" t="str">
        <f>HYPERLINK("http://продеталь.рф/search.html?article=ZVW1919R","ZVW1919R")</f>
        <v>ZVW1919R</v>
      </c>
      <c r="D7257" t="s">
        <v>6</v>
      </c>
    </row>
    <row r="7258" spans="1:4" outlineLevel="1" x14ac:dyDescent="0.25">
      <c r="A7258" t="s">
        <v>791</v>
      </c>
      <c r="B7258" t="s">
        <v>23</v>
      </c>
      <c r="C7258" s="1" t="str">
        <f>HYPERLINK("http://продеталь.рф/search.html?article=110212012","110212012")</f>
        <v>110212012</v>
      </c>
      <c r="D7258" t="s">
        <v>4</v>
      </c>
    </row>
    <row r="7259" spans="1:4" outlineLevel="1" x14ac:dyDescent="0.25">
      <c r="A7259" t="s">
        <v>791</v>
      </c>
      <c r="B7259" t="s">
        <v>23</v>
      </c>
      <c r="C7259" s="1" t="str">
        <f>HYPERLINK("http://продеталь.рф/search.html?article=11A212A12B","11A212A12B")</f>
        <v>11A212A12B</v>
      </c>
      <c r="D7259" t="s">
        <v>4</v>
      </c>
    </row>
    <row r="7260" spans="1:4" outlineLevel="1" x14ac:dyDescent="0.25">
      <c r="A7260" t="s">
        <v>791</v>
      </c>
      <c r="B7260" t="s">
        <v>23</v>
      </c>
      <c r="C7260" s="1" t="str">
        <f>HYPERLINK("http://продеталь.рф/search.html?article=11A211A12B","11A211A12B")</f>
        <v>11A211A12B</v>
      </c>
      <c r="D7260" t="s">
        <v>4</v>
      </c>
    </row>
    <row r="7261" spans="1:4" outlineLevel="1" x14ac:dyDescent="0.25">
      <c r="A7261" t="s">
        <v>791</v>
      </c>
      <c r="B7261" t="s">
        <v>45</v>
      </c>
      <c r="C7261" s="1" t="str">
        <f>HYPERLINK("http://продеталь.рф/search.html?article=9558591","9558591")</f>
        <v>9558591</v>
      </c>
      <c r="D7261" t="s">
        <v>46</v>
      </c>
    </row>
    <row r="7262" spans="1:4" outlineLevel="1" x14ac:dyDescent="0.25">
      <c r="A7262" t="s">
        <v>791</v>
      </c>
      <c r="B7262" t="s">
        <v>45</v>
      </c>
      <c r="C7262" s="1" t="str">
        <f>HYPERLINK("http://продеталь.рф/search.html?article=9558592","9558592")</f>
        <v>9558592</v>
      </c>
      <c r="D7262" t="s">
        <v>46</v>
      </c>
    </row>
    <row r="7263" spans="1:4" outlineLevel="1" x14ac:dyDescent="0.25">
      <c r="A7263" t="s">
        <v>791</v>
      </c>
      <c r="B7263" t="s">
        <v>45</v>
      </c>
      <c r="C7263" s="1" t="str">
        <f>HYPERLINK("http://продеталь.рф/search.html?article=9558594","9558594")</f>
        <v>9558594</v>
      </c>
      <c r="D7263" t="s">
        <v>46</v>
      </c>
    </row>
    <row r="7264" spans="1:4" outlineLevel="1" x14ac:dyDescent="0.25">
      <c r="A7264" t="s">
        <v>791</v>
      </c>
      <c r="B7264" t="s">
        <v>45</v>
      </c>
      <c r="C7264" s="1" t="str">
        <f>HYPERLINK("http://продеталь.рф/search.html?article=9558593","9558593")</f>
        <v>9558593</v>
      </c>
      <c r="D7264" t="s">
        <v>46</v>
      </c>
    </row>
    <row r="7265" spans="1:4" outlineLevel="1" x14ac:dyDescent="0.25">
      <c r="A7265" t="s">
        <v>791</v>
      </c>
      <c r="B7265" t="s">
        <v>35</v>
      </c>
      <c r="C7265" s="1" t="str">
        <f>HYPERLINK("http://продеталь.рф/search.html?article=311007","311007")</f>
        <v>311007</v>
      </c>
      <c r="D7265" t="s">
        <v>21</v>
      </c>
    </row>
    <row r="7266" spans="1:4" outlineLevel="1" x14ac:dyDescent="0.25">
      <c r="A7266" t="s">
        <v>791</v>
      </c>
      <c r="B7266" t="s">
        <v>35</v>
      </c>
      <c r="C7266" s="1" t="str">
        <f>HYPERLINK("http://продеталь.рф/search.html?article=311016","311016")</f>
        <v>311016</v>
      </c>
      <c r="D7266" t="s">
        <v>21</v>
      </c>
    </row>
    <row r="7267" spans="1:4" outlineLevel="1" x14ac:dyDescent="0.25">
      <c r="A7267" t="s">
        <v>791</v>
      </c>
      <c r="B7267" t="s">
        <v>1</v>
      </c>
      <c r="C7267" s="1" t="str">
        <f>HYPERLINK("http://продеталь.рф/search.html?article=VW20014A","VW20014A")</f>
        <v>VW20014A</v>
      </c>
      <c r="D7267" t="s">
        <v>2</v>
      </c>
    </row>
    <row r="7268" spans="1:4" outlineLevel="1" x14ac:dyDescent="0.25">
      <c r="A7268" t="s">
        <v>791</v>
      </c>
      <c r="B7268" t="s">
        <v>24</v>
      </c>
      <c r="C7268" s="1" t="str">
        <f>HYPERLINK("http://продеталь.рф/search.html?article=VW10013AR","VW10013AR")</f>
        <v>VW10013AR</v>
      </c>
      <c r="D7268" t="s">
        <v>2</v>
      </c>
    </row>
    <row r="7269" spans="1:4" outlineLevel="1" x14ac:dyDescent="0.25">
      <c r="A7269" t="s">
        <v>791</v>
      </c>
      <c r="B7269" t="s">
        <v>179</v>
      </c>
      <c r="C7269" s="1" t="str">
        <f>HYPERLINK("http://продеталь.рф/search.html?article=9558532","9558532")</f>
        <v>9558532</v>
      </c>
      <c r="D7269" t="s">
        <v>46</v>
      </c>
    </row>
    <row r="7270" spans="1:4" outlineLevel="1" x14ac:dyDescent="0.25">
      <c r="A7270" t="s">
        <v>791</v>
      </c>
      <c r="B7270" t="s">
        <v>179</v>
      </c>
      <c r="C7270" s="1" t="str">
        <f>HYPERLINK("http://продеталь.рф/search.html?article=9558531","9558531")</f>
        <v>9558531</v>
      </c>
      <c r="D7270" t="s">
        <v>46</v>
      </c>
    </row>
    <row r="7271" spans="1:4" outlineLevel="1" x14ac:dyDescent="0.25">
      <c r="A7271" t="s">
        <v>791</v>
      </c>
      <c r="B7271" t="s">
        <v>266</v>
      </c>
      <c r="C7271" s="1" t="str">
        <f>HYPERLINK("http://продеталь.рф/search.html?article=9558213","9558213")</f>
        <v>9558213</v>
      </c>
      <c r="D7271" t="s">
        <v>46</v>
      </c>
    </row>
    <row r="7272" spans="1:4" outlineLevel="1" x14ac:dyDescent="0.25">
      <c r="A7272" t="s">
        <v>791</v>
      </c>
      <c r="B7272" t="s">
        <v>792</v>
      </c>
      <c r="C7272" s="1" t="str">
        <f>HYPERLINK("http://продеталь.рф/search.html?article=9558011","9558011")</f>
        <v>9558011</v>
      </c>
      <c r="D7272" t="s">
        <v>46</v>
      </c>
    </row>
    <row r="7273" spans="1:4" outlineLevel="1" x14ac:dyDescent="0.25">
      <c r="A7273" t="s">
        <v>791</v>
      </c>
      <c r="B7273" t="s">
        <v>3</v>
      </c>
      <c r="C7273" s="1" t="str">
        <f>HYPERLINK("http://продеталь.рф/search.html?article=203294082","203294082")</f>
        <v>203294082</v>
      </c>
      <c r="D7273" t="s">
        <v>4</v>
      </c>
    </row>
    <row r="7274" spans="1:4" outlineLevel="1" x14ac:dyDescent="0.25">
      <c r="A7274" t="s">
        <v>791</v>
      </c>
      <c r="B7274" t="s">
        <v>3</v>
      </c>
      <c r="C7274" s="1" t="str">
        <f>HYPERLINK("http://продеталь.рф/search.html?article=203293082","203293082")</f>
        <v>203293082</v>
      </c>
      <c r="D7274" t="s">
        <v>4</v>
      </c>
    </row>
    <row r="7275" spans="1:4" outlineLevel="1" x14ac:dyDescent="0.25">
      <c r="A7275" t="s">
        <v>791</v>
      </c>
      <c r="B7275" t="s">
        <v>3</v>
      </c>
      <c r="C7275" s="1" t="str">
        <f>HYPERLINK("http://продеталь.рф/search.html?article=205541082","205541082")</f>
        <v>205541082</v>
      </c>
      <c r="D7275" t="s">
        <v>4</v>
      </c>
    </row>
    <row r="7276" spans="1:4" outlineLevel="1" x14ac:dyDescent="0.25">
      <c r="A7276" t="s">
        <v>791</v>
      </c>
      <c r="B7276" t="s">
        <v>5</v>
      </c>
      <c r="C7276" s="1" t="str">
        <f>HYPERLINK("http://продеталь.рф/search.html?article=211934","211934")</f>
        <v>211934</v>
      </c>
      <c r="D7276" t="s">
        <v>21</v>
      </c>
    </row>
    <row r="7277" spans="1:4" outlineLevel="1" x14ac:dyDescent="0.25">
      <c r="A7277" t="s">
        <v>791</v>
      </c>
      <c r="B7277" t="s">
        <v>54</v>
      </c>
      <c r="C7277" s="1" t="str">
        <f>HYPERLINK("http://продеталь.рф/search.html?article=9558041","9558041")</f>
        <v>9558041</v>
      </c>
      <c r="D7277" t="s">
        <v>46</v>
      </c>
    </row>
    <row r="7278" spans="1:4" outlineLevel="1" x14ac:dyDescent="0.25">
      <c r="A7278" t="s">
        <v>791</v>
      </c>
      <c r="B7278" t="s">
        <v>54</v>
      </c>
      <c r="C7278" s="1" t="str">
        <f>HYPERLINK("http://продеталь.рф/search.html?article=9558042","9558042")</f>
        <v>9558042</v>
      </c>
      <c r="D7278" t="s">
        <v>46</v>
      </c>
    </row>
    <row r="7279" spans="1:4" outlineLevel="1" x14ac:dyDescent="0.25">
      <c r="A7279" t="s">
        <v>791</v>
      </c>
      <c r="B7279" t="s">
        <v>19</v>
      </c>
      <c r="C7279" s="1" t="str">
        <f>HYPERLINK("http://продеталь.рф/search.html?article=19A519012B","19A519012B")</f>
        <v>19A519012B</v>
      </c>
      <c r="D7279" t="s">
        <v>4</v>
      </c>
    </row>
    <row r="7280" spans="1:4" outlineLevel="1" x14ac:dyDescent="0.25">
      <c r="A7280" t="s">
        <v>791</v>
      </c>
      <c r="B7280" t="s">
        <v>28</v>
      </c>
      <c r="C7280" s="1" t="str">
        <f>HYPERLINK("http://продеталь.рф/search.html?article=RA65184","RA65184")</f>
        <v>RA65184</v>
      </c>
      <c r="D7280" t="s">
        <v>6</v>
      </c>
    </row>
    <row r="7281" spans="1:4" outlineLevel="1" x14ac:dyDescent="0.25">
      <c r="A7281" t="s">
        <v>791</v>
      </c>
      <c r="B7281" t="s">
        <v>12</v>
      </c>
      <c r="C7281" s="1" t="str">
        <f>HYPERLINK("http://продеталь.рф/search.html?article=VW76093A0","VW76093A0")</f>
        <v>VW76093A0</v>
      </c>
      <c r="D7281" t="s">
        <v>9</v>
      </c>
    </row>
    <row r="7282" spans="1:4" outlineLevel="1" x14ac:dyDescent="0.25">
      <c r="A7282" t="s">
        <v>791</v>
      </c>
      <c r="B7282" t="s">
        <v>12</v>
      </c>
      <c r="C7282" s="1" t="str">
        <f>HYPERLINK("http://продеталь.рф/search.html?article=VW07013GBZ","VW07013GBZ")</f>
        <v>VW07013GBZ</v>
      </c>
      <c r="D7282" t="s">
        <v>2</v>
      </c>
    </row>
    <row r="7283" spans="1:4" outlineLevel="1" x14ac:dyDescent="0.25">
      <c r="A7283" t="s">
        <v>791</v>
      </c>
      <c r="B7283" t="s">
        <v>12</v>
      </c>
      <c r="C7283" s="1" t="str">
        <f>HYPERLINK("http://продеталь.рф/search.html?article=VW07033GAW","VW07033GAW")</f>
        <v>VW07033GAW</v>
      </c>
      <c r="D7283" t="s">
        <v>2</v>
      </c>
    </row>
    <row r="7284" spans="1:4" outlineLevel="1" x14ac:dyDescent="0.25">
      <c r="A7284" t="s">
        <v>791</v>
      </c>
      <c r="B7284" t="s">
        <v>12</v>
      </c>
      <c r="C7284" s="1" t="str">
        <f>HYPERLINK("http://продеталь.рф/search.html?article=VW07039GA","VW07039GA")</f>
        <v>VW07039GA</v>
      </c>
      <c r="D7284" t="s">
        <v>2</v>
      </c>
    </row>
    <row r="7285" spans="1:4" outlineLevel="1" x14ac:dyDescent="0.25">
      <c r="A7285" t="s">
        <v>791</v>
      </c>
      <c r="B7285" t="s">
        <v>32</v>
      </c>
      <c r="C7285" s="1" t="str">
        <f>HYPERLINK("http://продеталь.рф/search.html?article=33700871","33700871")</f>
        <v>33700871</v>
      </c>
      <c r="D7285" t="s">
        <v>4</v>
      </c>
    </row>
    <row r="7286" spans="1:4" outlineLevel="1" x14ac:dyDescent="0.25">
      <c r="A7286" t="s">
        <v>791</v>
      </c>
      <c r="B7286" t="s">
        <v>118</v>
      </c>
      <c r="C7286" s="1" t="str">
        <f>HYPERLINK("http://продеталь.рф/search.html?article=SVW2007L","SVW2007L")</f>
        <v>SVW2007L</v>
      </c>
      <c r="D7286" t="s">
        <v>63</v>
      </c>
    </row>
    <row r="7287" spans="1:4" outlineLevel="1" x14ac:dyDescent="0.25">
      <c r="A7287" t="s">
        <v>791</v>
      </c>
      <c r="B7287" t="s">
        <v>16</v>
      </c>
      <c r="C7287" s="1" t="str">
        <f>HYPERLINK("http://продеталь.рф/search.html?article=183322252","183322252")</f>
        <v>183322252</v>
      </c>
      <c r="D7287" t="s">
        <v>4</v>
      </c>
    </row>
    <row r="7288" spans="1:4" outlineLevel="1" x14ac:dyDescent="0.25">
      <c r="A7288" t="s">
        <v>791</v>
      </c>
      <c r="B7288" t="s">
        <v>16</v>
      </c>
      <c r="C7288" s="1" t="str">
        <f>HYPERLINK("http://продеталь.рф/search.html?article=183321252","183321252")</f>
        <v>183321252</v>
      </c>
      <c r="D7288" t="s">
        <v>4</v>
      </c>
    </row>
    <row r="7289" spans="1:4" outlineLevel="1" x14ac:dyDescent="0.25">
      <c r="A7289" t="s">
        <v>791</v>
      </c>
      <c r="B7289" t="s">
        <v>16</v>
      </c>
      <c r="C7289" s="1" t="str">
        <f>HYPERLINK("http://продеталь.рф/search.html?article=183322052","183322052")</f>
        <v>183322052</v>
      </c>
      <c r="D7289" t="s">
        <v>4</v>
      </c>
    </row>
    <row r="7290" spans="1:4" outlineLevel="1" x14ac:dyDescent="0.25">
      <c r="A7290" t="s">
        <v>791</v>
      </c>
      <c r="B7290" t="s">
        <v>16</v>
      </c>
      <c r="C7290" s="1" t="str">
        <f>HYPERLINK("http://продеталь.рф/search.html?article=183321052","183321052")</f>
        <v>183321052</v>
      </c>
      <c r="D7290" t="s">
        <v>4</v>
      </c>
    </row>
    <row r="7291" spans="1:4" outlineLevel="1" x14ac:dyDescent="0.25">
      <c r="A7291" t="s">
        <v>791</v>
      </c>
      <c r="B7291" t="s">
        <v>16</v>
      </c>
      <c r="C7291" s="1" t="str">
        <f>HYPERLINK("http://продеталь.рф/search.html?article=183322152","183322152")</f>
        <v>183322152</v>
      </c>
      <c r="D7291" t="s">
        <v>4</v>
      </c>
    </row>
    <row r="7292" spans="1:4" outlineLevel="1" x14ac:dyDescent="0.25">
      <c r="A7292" t="s">
        <v>791</v>
      </c>
      <c r="B7292" t="s">
        <v>16</v>
      </c>
      <c r="C7292" s="1" t="str">
        <f>HYPERLINK("http://продеталь.рф/search.html?article=183321152","183321152")</f>
        <v>183321152</v>
      </c>
      <c r="D7292" t="s">
        <v>4</v>
      </c>
    </row>
    <row r="7293" spans="1:4" outlineLevel="1" x14ac:dyDescent="0.25">
      <c r="A7293" t="s">
        <v>791</v>
      </c>
      <c r="B7293" t="s">
        <v>16</v>
      </c>
      <c r="C7293" s="1" t="str">
        <f>HYPERLINK("http://продеталь.рф/search.html?article=185542052","185542052")</f>
        <v>185542052</v>
      </c>
      <c r="D7293" t="s">
        <v>4</v>
      </c>
    </row>
    <row r="7294" spans="1:4" outlineLevel="1" x14ac:dyDescent="0.25">
      <c r="A7294" t="s">
        <v>791</v>
      </c>
      <c r="B7294" t="s">
        <v>793</v>
      </c>
      <c r="C7294" s="1" t="str">
        <f>HYPERLINK("http://продеталь.рф/search.html?article=2BA006049801","2BA006049801")</f>
        <v>2BA006049801</v>
      </c>
      <c r="D7294" t="s">
        <v>43</v>
      </c>
    </row>
    <row r="7295" spans="1:4" x14ac:dyDescent="0.25">
      <c r="A7295" t="s">
        <v>794</v>
      </c>
      <c r="B7295" s="2" t="s">
        <v>794</v>
      </c>
      <c r="C7295" s="2"/>
      <c r="D7295" s="2"/>
    </row>
    <row r="7296" spans="1:4" outlineLevel="1" x14ac:dyDescent="0.25">
      <c r="A7296" t="s">
        <v>794</v>
      </c>
      <c r="B7296" t="s">
        <v>11</v>
      </c>
      <c r="C7296" s="1" t="str">
        <f>HYPERLINK("http://продеталь.рф/search.html?article=VW04071BA","VW04071BA")</f>
        <v>VW04071BA</v>
      </c>
      <c r="D7296" t="s">
        <v>2</v>
      </c>
    </row>
    <row r="7297" spans="1:4" outlineLevel="1" x14ac:dyDescent="0.25">
      <c r="A7297" t="s">
        <v>794</v>
      </c>
      <c r="B7297" t="s">
        <v>15</v>
      </c>
      <c r="C7297" s="1" t="str">
        <f>HYPERLINK("http://продеталь.рф/search.html?article=3370145","3370145")</f>
        <v>3370145</v>
      </c>
      <c r="D7297" t="s">
        <v>4</v>
      </c>
    </row>
    <row r="7298" spans="1:4" outlineLevel="1" x14ac:dyDescent="0.25">
      <c r="A7298" t="s">
        <v>794</v>
      </c>
      <c r="B7298" t="s">
        <v>23</v>
      </c>
      <c r="C7298" s="1" t="str">
        <f>HYPERLINK("http://продеталь.рф/search.html?article=11B594012B","11B594012B")</f>
        <v>11B594012B</v>
      </c>
      <c r="D7298" t="s">
        <v>4</v>
      </c>
    </row>
    <row r="7299" spans="1:4" outlineLevel="1" x14ac:dyDescent="0.25">
      <c r="A7299" t="s">
        <v>794</v>
      </c>
      <c r="B7299" t="s">
        <v>1</v>
      </c>
      <c r="C7299" s="1" t="str">
        <f>HYPERLINK("http://продеталь.рф/search.html?article=VW20035A","VW20035A")</f>
        <v>VW20035A</v>
      </c>
      <c r="D7299" t="s">
        <v>2</v>
      </c>
    </row>
    <row r="7300" spans="1:4" outlineLevel="1" x14ac:dyDescent="0.25">
      <c r="A7300" t="s">
        <v>794</v>
      </c>
      <c r="B7300" t="s">
        <v>66</v>
      </c>
      <c r="C7300" s="1" t="str">
        <f>HYPERLINK("http://продеталь.рф/search.html?article=BK047","BK047")</f>
        <v>BK047</v>
      </c>
      <c r="D7300" t="s">
        <v>6</v>
      </c>
    </row>
    <row r="7301" spans="1:4" outlineLevel="1" x14ac:dyDescent="0.25">
      <c r="A7301" t="s">
        <v>794</v>
      </c>
      <c r="B7301" t="s">
        <v>26</v>
      </c>
      <c r="C7301" s="1" t="str">
        <f>HYPERLINK("http://продеталь.рф/search.html?article=VW04071MAL","VW04071MAL")</f>
        <v>VW04071MAL</v>
      </c>
      <c r="D7301" t="s">
        <v>2</v>
      </c>
    </row>
    <row r="7302" spans="1:4" outlineLevel="1" x14ac:dyDescent="0.25">
      <c r="A7302" t="s">
        <v>794</v>
      </c>
      <c r="B7302" t="s">
        <v>5</v>
      </c>
      <c r="C7302" s="1" t="str">
        <f>HYPERLINK("http://продеталь.рф/search.html?article=211955","211955")</f>
        <v>211955</v>
      </c>
      <c r="D7302" t="s">
        <v>21</v>
      </c>
    </row>
    <row r="7303" spans="1:4" outlineLevel="1" x14ac:dyDescent="0.25">
      <c r="A7303" t="s">
        <v>794</v>
      </c>
      <c r="B7303" t="s">
        <v>19</v>
      </c>
      <c r="C7303" s="1" t="str">
        <f>HYPERLINK("http://продеталь.рф/search.html?article=190517012","190517012")</f>
        <v>190517012</v>
      </c>
      <c r="D7303" t="s">
        <v>4</v>
      </c>
    </row>
    <row r="7304" spans="1:4" outlineLevel="1" x14ac:dyDescent="0.25">
      <c r="A7304" t="s">
        <v>794</v>
      </c>
      <c r="B7304" t="s">
        <v>19</v>
      </c>
      <c r="C7304" s="1" t="str">
        <f>HYPERLINK("http://продеталь.рф/search.html?article=19A606012B","19A606012B")</f>
        <v>19A606012B</v>
      </c>
      <c r="D7304" t="s">
        <v>4</v>
      </c>
    </row>
    <row r="7305" spans="1:4" outlineLevel="1" x14ac:dyDescent="0.25">
      <c r="A7305" t="s">
        <v>794</v>
      </c>
      <c r="B7305" t="s">
        <v>19</v>
      </c>
      <c r="C7305" s="1" t="str">
        <f>HYPERLINK("http://продеталь.рф/search.html?article=19A605012B","19A605012B")</f>
        <v>19A605012B</v>
      </c>
      <c r="D7305" t="s">
        <v>4</v>
      </c>
    </row>
    <row r="7306" spans="1:4" outlineLevel="1" x14ac:dyDescent="0.25">
      <c r="A7306" t="s">
        <v>794</v>
      </c>
      <c r="B7306" t="s">
        <v>30</v>
      </c>
      <c r="C7306" s="1" t="str">
        <f>HYPERLINK("http://продеталь.рф/search.html?article=PVW07082GAR","PVW07082GAR")</f>
        <v>PVW07082GAR</v>
      </c>
      <c r="D7306" t="s">
        <v>6</v>
      </c>
    </row>
    <row r="7307" spans="1:4" outlineLevel="1" x14ac:dyDescent="0.25">
      <c r="A7307" t="s">
        <v>794</v>
      </c>
      <c r="B7307" t="s">
        <v>40</v>
      </c>
      <c r="C7307" s="1" t="str">
        <f>HYPERLINK("http://продеталь.рф/search.html?article=VW07082GA","VW07082GA")</f>
        <v>VW07082GA</v>
      </c>
      <c r="D7307" t="s">
        <v>2</v>
      </c>
    </row>
    <row r="7308" spans="1:4" outlineLevel="1" x14ac:dyDescent="0.25">
      <c r="A7308" t="s">
        <v>794</v>
      </c>
      <c r="B7308" t="s">
        <v>40</v>
      </c>
      <c r="C7308" s="1" t="str">
        <f>HYPERLINK("http://продеталь.рф/search.html?article=VW770000G4R00","VW770000G4R00")</f>
        <v>VW770000G4R00</v>
      </c>
      <c r="D7308" t="s">
        <v>9</v>
      </c>
    </row>
    <row r="7309" spans="1:4" outlineLevel="1" x14ac:dyDescent="0.25">
      <c r="A7309" t="s">
        <v>794</v>
      </c>
      <c r="B7309" t="s">
        <v>32</v>
      </c>
      <c r="C7309" s="1" t="str">
        <f>HYPERLINK("http://продеталь.рф/search.html?article=33701471","33701471")</f>
        <v>33701471</v>
      </c>
      <c r="D7309" t="s">
        <v>4</v>
      </c>
    </row>
    <row r="7310" spans="1:4" outlineLevel="1" x14ac:dyDescent="0.25">
      <c r="A7310" t="s">
        <v>794</v>
      </c>
      <c r="B7310" t="s">
        <v>32</v>
      </c>
      <c r="C7310" s="1" t="str">
        <f>HYPERLINK("http://продеталь.рф/search.html?article=SVWM1030EL","SVWM1030EL")</f>
        <v>SVWM1030EL</v>
      </c>
      <c r="D7310" t="s">
        <v>6</v>
      </c>
    </row>
    <row r="7311" spans="1:4" outlineLevel="1" x14ac:dyDescent="0.25">
      <c r="A7311" t="s">
        <v>794</v>
      </c>
      <c r="B7311" t="s">
        <v>457</v>
      </c>
      <c r="C7311" s="1" t="str">
        <f>HYPERLINK("http://продеталь.рф/search.html?article=ZVW3401LR","ZVW3401LR")</f>
        <v>ZVW3401LR</v>
      </c>
      <c r="D7311" t="s">
        <v>6</v>
      </c>
    </row>
    <row r="7312" spans="1:4" outlineLevel="1" x14ac:dyDescent="0.25">
      <c r="A7312" t="s">
        <v>794</v>
      </c>
      <c r="B7312" t="s">
        <v>13</v>
      </c>
      <c r="C7312" s="1" t="str">
        <f>HYPERLINK("http://продеталь.рф/search.html?article=VW44057A","VW44057A")</f>
        <v>VW44057A</v>
      </c>
      <c r="D7312" t="s">
        <v>2</v>
      </c>
    </row>
    <row r="7313" spans="1:4" x14ac:dyDescent="0.25">
      <c r="A7313" t="s">
        <v>809</v>
      </c>
      <c r="B7313" s="2" t="s">
        <v>809</v>
      </c>
      <c r="C7313" s="2"/>
      <c r="D7313" s="2"/>
    </row>
    <row r="7314" spans="1:4" outlineLevel="1" x14ac:dyDescent="0.25">
      <c r="A7314" t="s">
        <v>809</v>
      </c>
      <c r="B7314" t="s">
        <v>810</v>
      </c>
      <c r="C7314" s="1" t="str">
        <f>HYPERLINK("http://продеталь.рф/search.html?article=H124V100W","H124V100W")</f>
        <v>H124V100W</v>
      </c>
      <c r="D7314" t="s">
        <v>750</v>
      </c>
    </row>
    <row r="7315" spans="1:4" outlineLevel="1" x14ac:dyDescent="0.25">
      <c r="A7315" t="s">
        <v>809</v>
      </c>
      <c r="B7315" t="s">
        <v>811</v>
      </c>
      <c r="C7315" s="1" t="str">
        <f>HYPERLINK("http://продеталь.рф/search.html?article=H312V100W","H312V100W")</f>
        <v>H312V100W</v>
      </c>
      <c r="D7315" t="s">
        <v>750</v>
      </c>
    </row>
    <row r="7316" spans="1:4" outlineLevel="1" x14ac:dyDescent="0.25">
      <c r="A7316" t="s">
        <v>809</v>
      </c>
      <c r="B7316" t="s">
        <v>812</v>
      </c>
      <c r="C7316" s="1" t="str">
        <f>HYPERLINK("http://продеталь.рф/search.html?article=H412V10090WX","H412V10090WX")</f>
        <v>H412V10090WX</v>
      </c>
      <c r="D7316" t="s">
        <v>750</v>
      </c>
    </row>
    <row r="7317" spans="1:4" outlineLevel="1" x14ac:dyDescent="0.25">
      <c r="A7317" t="s">
        <v>809</v>
      </c>
      <c r="B7317" t="s">
        <v>813</v>
      </c>
      <c r="C7317" s="1" t="str">
        <f>HYPERLINK("http://продеталь.рф/search.html?article=H424V10090WP43T","H424V10090WP43T")</f>
        <v>H424V10090WP43T</v>
      </c>
      <c r="D7317" t="s">
        <v>750</v>
      </c>
    </row>
    <row r="7318" spans="1:4" outlineLevel="1" x14ac:dyDescent="0.25">
      <c r="A7318" t="s">
        <v>809</v>
      </c>
      <c r="B7318" t="s">
        <v>814</v>
      </c>
      <c r="C7318" s="1" t="str">
        <f>HYPERLINK("http://продеталь.рф/search.html?article=H712V100W","H712V100W")</f>
        <v>H712V100W</v>
      </c>
      <c r="D7318" t="s">
        <v>750</v>
      </c>
    </row>
    <row r="7319" spans="1:4" outlineLevel="1" x14ac:dyDescent="0.25">
      <c r="A7319" t="s">
        <v>809</v>
      </c>
      <c r="B7319" t="s">
        <v>815</v>
      </c>
      <c r="C7319" s="1" t="str">
        <f>HYPERLINK("http://продеталь.рф/search.html?article=H712V100WX","H712V100WX")</f>
        <v>H712V100WX</v>
      </c>
      <c r="D7319" t="s">
        <v>750</v>
      </c>
    </row>
    <row r="7320" spans="1:4" outlineLevel="1" x14ac:dyDescent="0.25">
      <c r="A7320" t="s">
        <v>809</v>
      </c>
      <c r="B7320" t="s">
        <v>816</v>
      </c>
      <c r="C7320" s="1" t="str">
        <f>HYPERLINK("http://продеталь.рф/search.html?article=8GS861710001","8GS861710001")</f>
        <v>8GS861710001</v>
      </c>
      <c r="D7320" t="s">
        <v>43</v>
      </c>
    </row>
    <row r="7321" spans="1:4" outlineLevel="1" x14ac:dyDescent="0.25">
      <c r="A7321" t="s">
        <v>809</v>
      </c>
      <c r="B7321" t="s">
        <v>817</v>
      </c>
      <c r="C7321" s="1" t="str">
        <f>HYPERLINK("http://продеталь.рф/search.html?article=8GJ002525971","8GJ002525971")</f>
        <v>8GJ002525971</v>
      </c>
      <c r="D7321" t="s">
        <v>43</v>
      </c>
    </row>
    <row r="7322" spans="1:4" outlineLevel="1" x14ac:dyDescent="0.25">
      <c r="A7322" t="s">
        <v>809</v>
      </c>
      <c r="B7322" t="s">
        <v>818</v>
      </c>
      <c r="C7322" s="1" t="str">
        <f>HYPERLINK("http://продеталь.рф/search.html?article=8GD002088251","8GD002088251")</f>
        <v>8GD002088251</v>
      </c>
      <c r="D7322" t="s">
        <v>43</v>
      </c>
    </row>
    <row r="7323" spans="1:4" outlineLevel="1" x14ac:dyDescent="0.25">
      <c r="A7323" t="s">
        <v>809</v>
      </c>
      <c r="B7323" t="s">
        <v>819</v>
      </c>
      <c r="C7323" s="1" t="str">
        <f>HYPERLINK("http://продеталь.рф/search.html?article=8GH002089471","8GH002089471")</f>
        <v>8GH002089471</v>
      </c>
      <c r="D7323" t="s">
        <v>43</v>
      </c>
    </row>
    <row r="7324" spans="1:4" outlineLevel="1" x14ac:dyDescent="0.25">
      <c r="A7324" t="s">
        <v>809</v>
      </c>
      <c r="B7324" t="s">
        <v>820</v>
      </c>
      <c r="C7324" s="1" t="str">
        <f>HYPERLINK("http://продеталь.рф/search.html?article=8GP003594541","8GP003594541")</f>
        <v>8GP003594541</v>
      </c>
      <c r="D7324" t="s">
        <v>43</v>
      </c>
    </row>
    <row r="7325" spans="1:4" x14ac:dyDescent="0.25">
      <c r="A7325" t="s">
        <v>821</v>
      </c>
      <c r="B7325" s="2" t="s">
        <v>821</v>
      </c>
      <c r="C7325" s="2"/>
      <c r="D7325" s="2"/>
    </row>
    <row r="7326" spans="1:4" outlineLevel="1" x14ac:dyDescent="0.25">
      <c r="A7326" t="s">
        <v>821</v>
      </c>
      <c r="B7326" t="s">
        <v>822</v>
      </c>
      <c r="C7326" s="1" t="str">
        <f>HYPERLINK("http://продеталь.рф/search.html?article=T009","T009")</f>
        <v>T009</v>
      </c>
      <c r="D7326" t="s">
        <v>6</v>
      </c>
    </row>
    <row r="7327" spans="1:4" outlineLevel="1" x14ac:dyDescent="0.25">
      <c r="A7327" t="s">
        <v>821</v>
      </c>
      <c r="B7327" t="s">
        <v>822</v>
      </c>
      <c r="C7327" s="1" t="str">
        <f>HYPERLINK("http://продеталь.рф/search.html?article=PA1901","PA1901")</f>
        <v>PA1901</v>
      </c>
      <c r="D7327" t="s">
        <v>823</v>
      </c>
    </row>
    <row r="7328" spans="1:4" outlineLevel="1" x14ac:dyDescent="0.25">
      <c r="A7328" t="s">
        <v>821</v>
      </c>
      <c r="B7328" t="s">
        <v>824</v>
      </c>
      <c r="C7328" s="1" t="str">
        <f>HYPERLINK("http://продеталь.рф/search.html?article=G003","G003")</f>
        <v>G003</v>
      </c>
      <c r="D7328" t="s">
        <v>823</v>
      </c>
    </row>
    <row r="7329" spans="1:4" outlineLevel="1" x14ac:dyDescent="0.25">
      <c r="A7329" t="s">
        <v>821</v>
      </c>
      <c r="B7329" t="s">
        <v>824</v>
      </c>
      <c r="C7329" s="1" t="str">
        <f>HYPERLINK("http://продеталь.рф/search.html?article=G061","G061")</f>
        <v>G061</v>
      </c>
      <c r="D7329" t="s">
        <v>823</v>
      </c>
    </row>
    <row r="7330" spans="1:4" outlineLevel="1" x14ac:dyDescent="0.25">
      <c r="A7330" t="s">
        <v>821</v>
      </c>
      <c r="B7330" t="s">
        <v>824</v>
      </c>
      <c r="C7330" s="1" t="str">
        <f>HYPERLINK("http://продеталь.рф/search.html?article=G151","G151")</f>
        <v>G151</v>
      </c>
      <c r="D7330" t="s">
        <v>823</v>
      </c>
    </row>
    <row r="7331" spans="1:4" outlineLevel="1" x14ac:dyDescent="0.25">
      <c r="A7331" t="s">
        <v>821</v>
      </c>
      <c r="B7331" t="s">
        <v>824</v>
      </c>
      <c r="C7331" s="1" t="str">
        <f>HYPERLINK("http://продеталь.рф/search.html?article=G301","G301")</f>
        <v>G301</v>
      </c>
      <c r="D7331" t="s">
        <v>823</v>
      </c>
    </row>
    <row r="7332" spans="1:4" outlineLevel="1" x14ac:dyDescent="0.25">
      <c r="A7332" t="s">
        <v>821</v>
      </c>
      <c r="B7332" t="s">
        <v>824</v>
      </c>
      <c r="C7332" s="1" t="str">
        <f>HYPERLINK("http://продеталь.рф/search.html?article=G303","G303")</f>
        <v>G303</v>
      </c>
      <c r="D7332" t="s">
        <v>823</v>
      </c>
    </row>
    <row r="7333" spans="1:4" outlineLevel="1" x14ac:dyDescent="0.25">
      <c r="A7333" t="s">
        <v>821</v>
      </c>
      <c r="B7333" t="s">
        <v>824</v>
      </c>
      <c r="C7333" s="1" t="str">
        <f>HYPERLINK("http://продеталь.рф/search.html?article=P310","P310")</f>
        <v>P310</v>
      </c>
      <c r="D7333" t="s">
        <v>823</v>
      </c>
    </row>
    <row r="7334" spans="1:4" outlineLevel="1" x14ac:dyDescent="0.25">
      <c r="A7334" t="s">
        <v>821</v>
      </c>
      <c r="B7334" t="s">
        <v>824</v>
      </c>
      <c r="C7334" s="1" t="str">
        <f>HYPERLINK("http://продеталь.рф/search.html?article=G311","G311")</f>
        <v>G311</v>
      </c>
      <c r="D7334" t="s">
        <v>823</v>
      </c>
    </row>
    <row r="7335" spans="1:4" outlineLevel="1" x14ac:dyDescent="0.25">
      <c r="A7335" t="s">
        <v>821</v>
      </c>
      <c r="B7335" t="s">
        <v>824</v>
      </c>
      <c r="C7335" s="1" t="str">
        <f>HYPERLINK("http://продеталь.рф/search.html?article=G312","G312")</f>
        <v>G312</v>
      </c>
      <c r="D7335" t="s">
        <v>823</v>
      </c>
    </row>
    <row r="7336" spans="1:4" outlineLevel="1" x14ac:dyDescent="0.25">
      <c r="A7336" t="s">
        <v>821</v>
      </c>
      <c r="B7336" t="s">
        <v>824</v>
      </c>
      <c r="C7336" s="1" t="str">
        <f>HYPERLINK("http://продеталь.рф/search.html?article=P316","P316")</f>
        <v>P316</v>
      </c>
      <c r="D7336" t="s">
        <v>823</v>
      </c>
    </row>
    <row r="7337" spans="1:4" outlineLevel="1" x14ac:dyDescent="0.25">
      <c r="A7337" t="s">
        <v>821</v>
      </c>
      <c r="B7337" t="s">
        <v>824</v>
      </c>
      <c r="C7337" s="1" t="str">
        <f>HYPERLINK("http://продеталь.рф/search.html?article=G318","G318")</f>
        <v>G318</v>
      </c>
      <c r="D7337" t="s">
        <v>823</v>
      </c>
    </row>
    <row r="7338" spans="1:4" outlineLevel="1" x14ac:dyDescent="0.25">
      <c r="A7338" t="s">
        <v>821</v>
      </c>
      <c r="B7338" t="s">
        <v>824</v>
      </c>
      <c r="C7338" s="1" t="str">
        <f>HYPERLINK("http://продеталь.рф/search.html?article=P321","P321")</f>
        <v>P321</v>
      </c>
      <c r="D7338" t="s">
        <v>823</v>
      </c>
    </row>
    <row r="7339" spans="1:4" outlineLevel="1" x14ac:dyDescent="0.25">
      <c r="A7339" t="s">
        <v>821</v>
      </c>
      <c r="B7339" t="s">
        <v>824</v>
      </c>
      <c r="C7339" s="1" t="str">
        <f>HYPERLINK("http://продеталь.рф/search.html?article=P322","P322")</f>
        <v>P322</v>
      </c>
      <c r="D7339" t="s">
        <v>823</v>
      </c>
    </row>
    <row r="7340" spans="1:4" outlineLevel="1" x14ac:dyDescent="0.25">
      <c r="A7340" t="s">
        <v>821</v>
      </c>
      <c r="B7340" t="s">
        <v>824</v>
      </c>
      <c r="C7340" s="1" t="str">
        <f>HYPERLINK("http://продеталь.рф/search.html?article=P325","P325")</f>
        <v>P325</v>
      </c>
      <c r="D7340" t="s">
        <v>823</v>
      </c>
    </row>
    <row r="7341" spans="1:4" outlineLevel="1" x14ac:dyDescent="0.25">
      <c r="A7341" t="s">
        <v>821</v>
      </c>
      <c r="B7341" t="s">
        <v>824</v>
      </c>
      <c r="C7341" s="1" t="str">
        <f>HYPERLINK("http://продеталь.рф/search.html?article=G332","G332")</f>
        <v>G332</v>
      </c>
      <c r="D7341" t="s">
        <v>823</v>
      </c>
    </row>
    <row r="7342" spans="1:4" outlineLevel="1" x14ac:dyDescent="0.25">
      <c r="A7342" t="s">
        <v>821</v>
      </c>
      <c r="B7342" t="s">
        <v>824</v>
      </c>
      <c r="C7342" s="1" t="str">
        <f>HYPERLINK("http://продеталь.рф/search.html?article=P333","P333")</f>
        <v>P333</v>
      </c>
      <c r="D7342" t="s">
        <v>823</v>
      </c>
    </row>
    <row r="7343" spans="1:4" outlineLevel="1" x14ac:dyDescent="0.25">
      <c r="A7343" t="s">
        <v>821</v>
      </c>
      <c r="B7343" t="s">
        <v>824</v>
      </c>
      <c r="C7343" s="1" t="str">
        <f>HYPERLINK("http://продеталь.рф/search.html?article=P342","P342")</f>
        <v>P342</v>
      </c>
      <c r="D7343" t="s">
        <v>823</v>
      </c>
    </row>
    <row r="7344" spans="1:4" outlineLevel="1" x14ac:dyDescent="0.25">
      <c r="A7344" t="s">
        <v>821</v>
      </c>
      <c r="B7344" t="s">
        <v>824</v>
      </c>
      <c r="C7344" s="1" t="str">
        <f>HYPERLINK("http://продеталь.рф/search.html?article=G344","G344")</f>
        <v>G344</v>
      </c>
      <c r="D7344" t="s">
        <v>823</v>
      </c>
    </row>
    <row r="7345" spans="1:4" outlineLevel="1" x14ac:dyDescent="0.25">
      <c r="A7345" t="s">
        <v>821</v>
      </c>
      <c r="B7345" t="s">
        <v>824</v>
      </c>
      <c r="C7345" s="1" t="str">
        <f>HYPERLINK("http://продеталь.рф/search.html?article=P347","P347")</f>
        <v>P347</v>
      </c>
      <c r="D7345" t="s">
        <v>823</v>
      </c>
    </row>
    <row r="7346" spans="1:4" outlineLevel="1" x14ac:dyDescent="0.25">
      <c r="A7346" t="s">
        <v>821</v>
      </c>
      <c r="B7346" t="s">
        <v>824</v>
      </c>
      <c r="C7346" s="1" t="str">
        <f>HYPERLINK("http://продеталь.рф/search.html?article=P359","P359")</f>
        <v>P359</v>
      </c>
      <c r="D7346" t="s">
        <v>823</v>
      </c>
    </row>
    <row r="7347" spans="1:4" outlineLevel="1" x14ac:dyDescent="0.25">
      <c r="A7347" t="s">
        <v>821</v>
      </c>
      <c r="B7347" t="s">
        <v>824</v>
      </c>
      <c r="C7347" s="1" t="str">
        <f>HYPERLINK("http://продеталь.рф/search.html?article=P360","P360")</f>
        <v>P360</v>
      </c>
      <c r="D7347" t="s">
        <v>823</v>
      </c>
    </row>
    <row r="7348" spans="1:4" outlineLevel="1" x14ac:dyDescent="0.25">
      <c r="A7348" t="s">
        <v>821</v>
      </c>
      <c r="B7348" t="s">
        <v>824</v>
      </c>
      <c r="C7348" s="1" t="str">
        <f>HYPERLINK("http://продеталь.рф/search.html?article=P380","P380")</f>
        <v>P380</v>
      </c>
      <c r="D7348" t="s">
        <v>823</v>
      </c>
    </row>
    <row r="7349" spans="1:4" outlineLevel="1" x14ac:dyDescent="0.25">
      <c r="A7349" t="s">
        <v>821</v>
      </c>
      <c r="B7349" t="s">
        <v>824</v>
      </c>
      <c r="C7349" s="1" t="str">
        <f>HYPERLINK("http://продеталь.рф/search.html?article=P381","P381")</f>
        <v>P381</v>
      </c>
      <c r="D7349" t="s">
        <v>823</v>
      </c>
    </row>
    <row r="7350" spans="1:4" outlineLevel="1" x14ac:dyDescent="0.25">
      <c r="A7350" t="s">
        <v>821</v>
      </c>
      <c r="B7350" t="s">
        <v>824</v>
      </c>
      <c r="C7350" s="1" t="str">
        <f>HYPERLINK("http://продеталь.рф/search.html?article=P385","P385")</f>
        <v>P385</v>
      </c>
      <c r="D7350" t="s">
        <v>823</v>
      </c>
    </row>
    <row r="7351" spans="1:4" outlineLevel="1" x14ac:dyDescent="0.25">
      <c r="A7351" t="s">
        <v>821</v>
      </c>
      <c r="B7351" t="s">
        <v>824</v>
      </c>
      <c r="C7351" s="1" t="str">
        <f>HYPERLINK("http://продеталь.рф/search.html?article=G395","G395")</f>
        <v>G395</v>
      </c>
      <c r="D7351" t="s">
        <v>823</v>
      </c>
    </row>
    <row r="7352" spans="1:4" outlineLevel="1" x14ac:dyDescent="0.25">
      <c r="A7352" t="s">
        <v>821</v>
      </c>
      <c r="B7352" t="s">
        <v>824</v>
      </c>
      <c r="C7352" s="1" t="str">
        <f>HYPERLINK("http://продеталь.рф/search.html?article=G397","G397")</f>
        <v>G397</v>
      </c>
      <c r="D7352" t="s">
        <v>823</v>
      </c>
    </row>
    <row r="7353" spans="1:4" outlineLevel="1" x14ac:dyDescent="0.25">
      <c r="A7353" t="s">
        <v>821</v>
      </c>
      <c r="B7353" t="s">
        <v>824</v>
      </c>
      <c r="C7353" s="1" t="str">
        <f>HYPERLINK("http://продеталь.рф/search.html?article=P400","P400")</f>
        <v>P400</v>
      </c>
      <c r="D7353" t="s">
        <v>823</v>
      </c>
    </row>
    <row r="7354" spans="1:4" outlineLevel="1" x14ac:dyDescent="0.25">
      <c r="A7354" t="s">
        <v>821</v>
      </c>
      <c r="B7354" t="s">
        <v>824</v>
      </c>
      <c r="C7354" s="1" t="str">
        <f>HYPERLINK("http://продеталь.рф/search.html?article=G401","G401")</f>
        <v>G401</v>
      </c>
      <c r="D7354" t="s">
        <v>823</v>
      </c>
    </row>
    <row r="7355" spans="1:4" outlineLevel="1" x14ac:dyDescent="0.25">
      <c r="A7355" t="s">
        <v>821</v>
      </c>
      <c r="B7355" t="s">
        <v>824</v>
      </c>
      <c r="C7355" s="1" t="str">
        <f>HYPERLINK("http://продеталь.рф/search.html?article=G410","G410")</f>
        <v>G410</v>
      </c>
      <c r="D7355" t="s">
        <v>823</v>
      </c>
    </row>
    <row r="7356" spans="1:4" outlineLevel="1" x14ac:dyDescent="0.25">
      <c r="A7356" t="s">
        <v>821</v>
      </c>
      <c r="B7356" t="s">
        <v>824</v>
      </c>
      <c r="C7356" s="1" t="str">
        <f>HYPERLINK("http://продеталь.рф/search.html?article=P420","P420")</f>
        <v>P420</v>
      </c>
      <c r="D7356" t="s">
        <v>823</v>
      </c>
    </row>
    <row r="7357" spans="1:4" outlineLevel="1" x14ac:dyDescent="0.25">
      <c r="A7357" t="s">
        <v>821</v>
      </c>
      <c r="B7357" t="s">
        <v>824</v>
      </c>
      <c r="C7357" s="1" t="str">
        <f>HYPERLINK("http://продеталь.рф/search.html?article=P423","P423")</f>
        <v>P423</v>
      </c>
      <c r="D7357" t="s">
        <v>823</v>
      </c>
    </row>
    <row r="7358" spans="1:4" outlineLevel="1" x14ac:dyDescent="0.25">
      <c r="A7358" t="s">
        <v>821</v>
      </c>
      <c r="B7358" t="s">
        <v>824</v>
      </c>
      <c r="C7358" s="1" t="str">
        <f>HYPERLINK("http://продеталь.рф/search.html?article=P425","P425")</f>
        <v>P425</v>
      </c>
      <c r="D7358" t="s">
        <v>823</v>
      </c>
    </row>
    <row r="7359" spans="1:4" outlineLevel="1" x14ac:dyDescent="0.25">
      <c r="A7359" t="s">
        <v>821</v>
      </c>
      <c r="B7359" t="s">
        <v>824</v>
      </c>
      <c r="C7359" s="1" t="str">
        <f>HYPERLINK("http://продеталь.рф/search.html?article=P433","P433")</f>
        <v>P433</v>
      </c>
      <c r="D7359" t="s">
        <v>823</v>
      </c>
    </row>
    <row r="7360" spans="1:4" outlineLevel="1" x14ac:dyDescent="0.25">
      <c r="A7360" t="s">
        <v>821</v>
      </c>
      <c r="B7360" t="s">
        <v>824</v>
      </c>
      <c r="C7360" s="1" t="str">
        <f>HYPERLINK("http://продеталь.рф/search.html?article=P441","P441")</f>
        <v>P441</v>
      </c>
      <c r="D7360" t="s">
        <v>823</v>
      </c>
    </row>
    <row r="7361" spans="1:4" outlineLevel="1" x14ac:dyDescent="0.25">
      <c r="A7361" t="s">
        <v>821</v>
      </c>
      <c r="B7361" t="s">
        <v>824</v>
      </c>
      <c r="C7361" s="1" t="str">
        <f>HYPERLINK("http://продеталь.рф/search.html?article=G458","G458")</f>
        <v>G458</v>
      </c>
      <c r="D7361" t="s">
        <v>823</v>
      </c>
    </row>
    <row r="7362" spans="1:4" outlineLevel="1" x14ac:dyDescent="0.25">
      <c r="A7362" t="s">
        <v>821</v>
      </c>
      <c r="B7362" t="s">
        <v>824</v>
      </c>
      <c r="C7362" s="1" t="str">
        <f>HYPERLINK("http://продеталь.рф/search.html?article=P473","P473")</f>
        <v>P473</v>
      </c>
      <c r="D7362" t="s">
        <v>823</v>
      </c>
    </row>
    <row r="7363" spans="1:4" outlineLevel="1" x14ac:dyDescent="0.25">
      <c r="A7363" t="s">
        <v>821</v>
      </c>
      <c r="B7363" t="s">
        <v>824</v>
      </c>
      <c r="C7363" s="1" t="str">
        <f>HYPERLINK("http://продеталь.рф/search.html?article=P474","P474")</f>
        <v>P474</v>
      </c>
      <c r="D7363" t="s">
        <v>823</v>
      </c>
    </row>
    <row r="7364" spans="1:4" outlineLevel="1" x14ac:dyDescent="0.25">
      <c r="A7364" t="s">
        <v>821</v>
      </c>
      <c r="B7364" t="s">
        <v>824</v>
      </c>
      <c r="C7364" s="1" t="str">
        <f>HYPERLINK("http://продеталь.рф/search.html?article=P476","P476")</f>
        <v>P476</v>
      </c>
      <c r="D7364" t="s">
        <v>823</v>
      </c>
    </row>
    <row r="7365" spans="1:4" outlineLevel="1" x14ac:dyDescent="0.25">
      <c r="A7365" t="s">
        <v>821</v>
      </c>
      <c r="B7365" t="s">
        <v>824</v>
      </c>
      <c r="C7365" s="1" t="str">
        <f>HYPERLINK("http://продеталь.рф/search.html?article=G480","G480")</f>
        <v>G480</v>
      </c>
      <c r="D7365" t="s">
        <v>823</v>
      </c>
    </row>
    <row r="7366" spans="1:4" outlineLevel="1" x14ac:dyDescent="0.25">
      <c r="A7366" t="s">
        <v>821</v>
      </c>
      <c r="B7366" t="s">
        <v>824</v>
      </c>
      <c r="C7366" s="1" t="str">
        <f>HYPERLINK("http://продеталь.рф/search.html?article=P484","P484")</f>
        <v>P484</v>
      </c>
      <c r="D7366" t="s">
        <v>823</v>
      </c>
    </row>
    <row r="7367" spans="1:4" outlineLevel="1" x14ac:dyDescent="0.25">
      <c r="A7367" t="s">
        <v>821</v>
      </c>
      <c r="B7367" t="s">
        <v>824</v>
      </c>
      <c r="C7367" s="1" t="str">
        <f>HYPERLINK("http://продеталь.рф/search.html?article=P490","P490")</f>
        <v>P490</v>
      </c>
      <c r="D7367" t="s">
        <v>823</v>
      </c>
    </row>
    <row r="7368" spans="1:4" outlineLevel="1" x14ac:dyDescent="0.25">
      <c r="A7368" t="s">
        <v>821</v>
      </c>
      <c r="B7368" t="s">
        <v>824</v>
      </c>
      <c r="C7368" s="1" t="str">
        <f>HYPERLINK("http://продеталь.рф/search.html?article=P491","P491")</f>
        <v>P491</v>
      </c>
      <c r="D7368" t="s">
        <v>823</v>
      </c>
    </row>
    <row r="7369" spans="1:4" outlineLevel="1" x14ac:dyDescent="0.25">
      <c r="A7369" t="s">
        <v>821</v>
      </c>
      <c r="B7369" t="s">
        <v>824</v>
      </c>
      <c r="C7369" s="1" t="str">
        <f>HYPERLINK("http://продеталь.рф/search.html?article=P496","P496")</f>
        <v>P496</v>
      </c>
      <c r="D7369" t="s">
        <v>823</v>
      </c>
    </row>
    <row r="7370" spans="1:4" outlineLevel="1" x14ac:dyDescent="0.25">
      <c r="A7370" t="s">
        <v>821</v>
      </c>
      <c r="B7370" t="s">
        <v>824</v>
      </c>
      <c r="C7370" s="1" t="str">
        <f>HYPERLINK("http://продеталь.рф/search.html?article=P533","P533")</f>
        <v>P533</v>
      </c>
      <c r="D7370" t="s">
        <v>823</v>
      </c>
    </row>
    <row r="7371" spans="1:4" outlineLevel="1" x14ac:dyDescent="0.25">
      <c r="A7371" t="s">
        <v>821</v>
      </c>
      <c r="B7371" t="s">
        <v>824</v>
      </c>
      <c r="C7371" s="1" t="str">
        <f>HYPERLINK("http://продеталь.рф/search.html?article=P550","P550")</f>
        <v>P550</v>
      </c>
      <c r="D7371" t="s">
        <v>823</v>
      </c>
    </row>
    <row r="7372" spans="1:4" outlineLevel="1" x14ac:dyDescent="0.25">
      <c r="A7372" t="s">
        <v>821</v>
      </c>
      <c r="B7372" t="s">
        <v>824</v>
      </c>
      <c r="C7372" s="1" t="str">
        <f>HYPERLINK("http://продеталь.рф/search.html?article=P561","P561")</f>
        <v>P561</v>
      </c>
      <c r="D7372" t="s">
        <v>823</v>
      </c>
    </row>
    <row r="7373" spans="1:4" outlineLevel="1" x14ac:dyDescent="0.25">
      <c r="A7373" t="s">
        <v>821</v>
      </c>
      <c r="B7373" t="s">
        <v>824</v>
      </c>
      <c r="C7373" s="1" t="str">
        <f>HYPERLINK("http://продеталь.рф/search.html?article=P564","P564")</f>
        <v>P564</v>
      </c>
      <c r="D7373" t="s">
        <v>823</v>
      </c>
    </row>
    <row r="7374" spans="1:4" outlineLevel="1" x14ac:dyDescent="0.25">
      <c r="A7374" t="s">
        <v>821</v>
      </c>
      <c r="B7374" t="s">
        <v>824</v>
      </c>
      <c r="C7374" s="1" t="str">
        <f>HYPERLINK("http://продеталь.рф/search.html?article=P569","P569")</f>
        <v>P569</v>
      </c>
      <c r="D7374" t="s">
        <v>823</v>
      </c>
    </row>
    <row r="7375" spans="1:4" outlineLevel="1" x14ac:dyDescent="0.25">
      <c r="A7375" t="s">
        <v>821</v>
      </c>
      <c r="B7375" t="s">
        <v>824</v>
      </c>
      <c r="C7375" s="1" t="str">
        <f>HYPERLINK("http://продеталь.рф/search.html?article=P615","P615")</f>
        <v>P615</v>
      </c>
      <c r="D7375" t="s">
        <v>823</v>
      </c>
    </row>
    <row r="7376" spans="1:4" outlineLevel="1" x14ac:dyDescent="0.25">
      <c r="A7376" t="s">
        <v>821</v>
      </c>
      <c r="B7376" t="s">
        <v>824</v>
      </c>
      <c r="C7376" s="1" t="str">
        <f>HYPERLINK("http://продеталь.рф/search.html?article=P643","P643")</f>
        <v>P643</v>
      </c>
      <c r="D7376" t="s">
        <v>823</v>
      </c>
    </row>
    <row r="7377" spans="1:4" outlineLevel="1" x14ac:dyDescent="0.25">
      <c r="A7377" t="s">
        <v>821</v>
      </c>
      <c r="B7377" t="s">
        <v>824</v>
      </c>
      <c r="C7377" s="1" t="str">
        <f>HYPERLINK("http://продеталь.рф/search.html?article=G650","G650")</f>
        <v>G650</v>
      </c>
      <c r="D7377" t="s">
        <v>823</v>
      </c>
    </row>
    <row r="7378" spans="1:4" outlineLevel="1" x14ac:dyDescent="0.25">
      <c r="A7378" t="s">
        <v>821</v>
      </c>
      <c r="B7378" t="s">
        <v>824</v>
      </c>
      <c r="C7378" s="1" t="str">
        <f>HYPERLINK("http://продеталь.рф/search.html?article=G665","G665")</f>
        <v>G665</v>
      </c>
      <c r="D7378" t="s">
        <v>823</v>
      </c>
    </row>
    <row r="7379" spans="1:4" outlineLevel="1" x14ac:dyDescent="0.25">
      <c r="A7379" t="s">
        <v>821</v>
      </c>
      <c r="B7379" t="s">
        <v>824</v>
      </c>
      <c r="C7379" s="1" t="str">
        <f>HYPERLINK("http://продеталь.рф/search.html?article=P670","P670")</f>
        <v>P670</v>
      </c>
      <c r="D7379" t="s">
        <v>823</v>
      </c>
    </row>
    <row r="7380" spans="1:4" outlineLevel="1" x14ac:dyDescent="0.25">
      <c r="A7380" t="s">
        <v>821</v>
      </c>
      <c r="B7380" t="s">
        <v>824</v>
      </c>
      <c r="C7380" s="1" t="str">
        <f>HYPERLINK("http://продеталь.рф/search.html?article=P675","P675")</f>
        <v>P675</v>
      </c>
      <c r="D7380" t="s">
        <v>823</v>
      </c>
    </row>
    <row r="7381" spans="1:4" outlineLevel="1" x14ac:dyDescent="0.25">
      <c r="A7381" t="s">
        <v>821</v>
      </c>
      <c r="B7381" t="s">
        <v>824</v>
      </c>
      <c r="C7381" s="1" t="str">
        <f>HYPERLINK("http://продеталь.рф/search.html?article=P676","P676")</f>
        <v>P676</v>
      </c>
      <c r="D7381" t="s">
        <v>823</v>
      </c>
    </row>
    <row r="7382" spans="1:4" outlineLevel="1" x14ac:dyDescent="0.25">
      <c r="A7382" t="s">
        <v>821</v>
      </c>
      <c r="B7382" t="s">
        <v>824</v>
      </c>
      <c r="C7382" s="1" t="str">
        <f>HYPERLINK("http://продеталь.рф/search.html?article=P677","P677")</f>
        <v>P677</v>
      </c>
      <c r="D7382" t="s">
        <v>823</v>
      </c>
    </row>
    <row r="7383" spans="1:4" outlineLevel="1" x14ac:dyDescent="0.25">
      <c r="A7383" t="s">
        <v>821</v>
      </c>
      <c r="B7383" t="s">
        <v>824</v>
      </c>
      <c r="C7383" s="1" t="str">
        <f>HYPERLINK("http://продеталь.рф/search.html?article=P681","P681")</f>
        <v>P681</v>
      </c>
      <c r="D7383" t="s">
        <v>823</v>
      </c>
    </row>
    <row r="7384" spans="1:4" outlineLevel="1" x14ac:dyDescent="0.25">
      <c r="A7384" t="s">
        <v>821</v>
      </c>
      <c r="B7384" t="s">
        <v>824</v>
      </c>
      <c r="C7384" s="1" t="str">
        <f>HYPERLINK("http://продеталь.рф/search.html?article=P683","P683")</f>
        <v>P683</v>
      </c>
      <c r="D7384" t="s">
        <v>823</v>
      </c>
    </row>
    <row r="7385" spans="1:4" outlineLevel="1" x14ac:dyDescent="0.25">
      <c r="A7385" t="s">
        <v>821</v>
      </c>
      <c r="B7385" t="s">
        <v>824</v>
      </c>
      <c r="C7385" s="1" t="str">
        <f>HYPERLINK("http://продеталь.рф/search.html?article=P715","P715")</f>
        <v>P715</v>
      </c>
      <c r="D7385" t="s">
        <v>823</v>
      </c>
    </row>
    <row r="7386" spans="1:4" outlineLevel="1" x14ac:dyDescent="0.25">
      <c r="A7386" t="s">
        <v>821</v>
      </c>
      <c r="B7386" t="s">
        <v>824</v>
      </c>
      <c r="C7386" s="1" t="str">
        <f>HYPERLINK("http://продеталь.рф/search.html?article=P722","P722")</f>
        <v>P722</v>
      </c>
      <c r="D7386" t="s">
        <v>823</v>
      </c>
    </row>
    <row r="7387" spans="1:4" outlineLevel="1" x14ac:dyDescent="0.25">
      <c r="A7387" t="s">
        <v>821</v>
      </c>
      <c r="B7387" t="s">
        <v>824</v>
      </c>
      <c r="C7387" s="1" t="str">
        <f>HYPERLINK("http://продеталь.рф/search.html?article=G726","G726")</f>
        <v>G726</v>
      </c>
      <c r="D7387" t="s">
        <v>823</v>
      </c>
    </row>
    <row r="7388" spans="1:4" outlineLevel="1" x14ac:dyDescent="0.25">
      <c r="A7388" t="s">
        <v>821</v>
      </c>
      <c r="B7388" t="s">
        <v>824</v>
      </c>
      <c r="C7388" s="1" t="str">
        <f>HYPERLINK("http://продеталь.рф/search.html?article=P727","P727")</f>
        <v>P727</v>
      </c>
      <c r="D7388" t="s">
        <v>823</v>
      </c>
    </row>
    <row r="7389" spans="1:4" outlineLevel="1" x14ac:dyDescent="0.25">
      <c r="A7389" t="s">
        <v>821</v>
      </c>
      <c r="B7389" t="s">
        <v>824</v>
      </c>
      <c r="C7389" s="1" t="str">
        <f>HYPERLINK("http://продеталь.рф/search.html?article=P764","P764")</f>
        <v>P764</v>
      </c>
      <c r="D7389" t="s">
        <v>823</v>
      </c>
    </row>
    <row r="7390" spans="1:4" outlineLevel="1" x14ac:dyDescent="0.25">
      <c r="A7390" t="s">
        <v>821</v>
      </c>
      <c r="B7390" t="s">
        <v>824</v>
      </c>
      <c r="C7390" s="1" t="str">
        <f>HYPERLINK("http://продеталь.рф/search.html?article=P775","P775")</f>
        <v>P775</v>
      </c>
      <c r="D7390" t="s">
        <v>823</v>
      </c>
    </row>
    <row r="7391" spans="1:4" outlineLevel="1" x14ac:dyDescent="0.25">
      <c r="A7391" t="s">
        <v>821</v>
      </c>
      <c r="B7391" t="s">
        <v>824</v>
      </c>
      <c r="C7391" s="1" t="str">
        <f>HYPERLINK("http://продеталь.рф/search.html?article=P777","P777")</f>
        <v>P777</v>
      </c>
      <c r="D7391" t="s">
        <v>823</v>
      </c>
    </row>
    <row r="7392" spans="1:4" outlineLevel="1" x14ac:dyDescent="0.25">
      <c r="A7392" t="s">
        <v>821</v>
      </c>
      <c r="B7392" t="s">
        <v>824</v>
      </c>
      <c r="C7392" s="1" t="str">
        <f>HYPERLINK("http://продеталь.рф/search.html?article=P779","P779")</f>
        <v>P779</v>
      </c>
      <c r="D7392" t="s">
        <v>823</v>
      </c>
    </row>
    <row r="7393" spans="1:4" outlineLevel="1" x14ac:dyDescent="0.25">
      <c r="A7393" t="s">
        <v>821</v>
      </c>
      <c r="B7393" t="s">
        <v>824</v>
      </c>
      <c r="C7393" s="1" t="str">
        <f>HYPERLINK("http://продеталь.рф/search.html?article=P780","P780")</f>
        <v>P780</v>
      </c>
      <c r="D7393" t="s">
        <v>823</v>
      </c>
    </row>
    <row r="7394" spans="1:4" outlineLevel="1" x14ac:dyDescent="0.25">
      <c r="A7394" t="s">
        <v>821</v>
      </c>
      <c r="B7394" t="s">
        <v>824</v>
      </c>
      <c r="C7394" s="1" t="str">
        <f>HYPERLINK("http://продеталь.рф/search.html?article=P798","P798")</f>
        <v>P798</v>
      </c>
      <c r="D7394" t="s">
        <v>823</v>
      </c>
    </row>
    <row r="7395" spans="1:4" outlineLevel="1" x14ac:dyDescent="0.25">
      <c r="A7395" t="s">
        <v>821</v>
      </c>
      <c r="B7395" t="s">
        <v>824</v>
      </c>
      <c r="C7395" s="1" t="str">
        <f>HYPERLINK("http://продеталь.рф/search.html?article=P805","P805")</f>
        <v>P805</v>
      </c>
      <c r="D7395" t="s">
        <v>823</v>
      </c>
    </row>
    <row r="7396" spans="1:4" outlineLevel="1" x14ac:dyDescent="0.25">
      <c r="A7396" t="s">
        <v>821</v>
      </c>
      <c r="B7396" t="s">
        <v>824</v>
      </c>
      <c r="C7396" s="1" t="str">
        <f>HYPERLINK("http://продеталь.рф/search.html?article=G814","G814")</f>
        <v>G814</v>
      </c>
      <c r="D7396" t="s">
        <v>823</v>
      </c>
    </row>
    <row r="7397" spans="1:4" outlineLevel="1" x14ac:dyDescent="0.25">
      <c r="A7397" t="s">
        <v>821</v>
      </c>
      <c r="B7397" t="s">
        <v>824</v>
      </c>
      <c r="C7397" s="1" t="str">
        <f>HYPERLINK("http://продеталь.рф/search.html?article=P816","P816")</f>
        <v>P816</v>
      </c>
      <c r="D7397" t="s">
        <v>823</v>
      </c>
    </row>
    <row r="7398" spans="1:4" outlineLevel="1" x14ac:dyDescent="0.25">
      <c r="A7398" t="s">
        <v>821</v>
      </c>
      <c r="B7398" t="s">
        <v>824</v>
      </c>
      <c r="C7398" s="1" t="str">
        <f>HYPERLINK("http://продеталь.рф/search.html?article=P841","P841")</f>
        <v>P841</v>
      </c>
      <c r="D7398" t="s">
        <v>823</v>
      </c>
    </row>
    <row r="7399" spans="1:4" outlineLevel="1" x14ac:dyDescent="0.25">
      <c r="A7399" t="s">
        <v>821</v>
      </c>
      <c r="B7399" t="s">
        <v>824</v>
      </c>
      <c r="C7399" s="1" t="str">
        <f>HYPERLINK("http://продеталь.рф/search.html?article=P862","P862")</f>
        <v>P862</v>
      </c>
      <c r="D7399" t="s">
        <v>823</v>
      </c>
    </row>
    <row r="7400" spans="1:4" outlineLevel="1" x14ac:dyDescent="0.25">
      <c r="A7400" t="s">
        <v>821</v>
      </c>
      <c r="B7400" t="s">
        <v>824</v>
      </c>
      <c r="C7400" s="1" t="str">
        <f>HYPERLINK("http://продеталь.рф/search.html?article=P867","P867")</f>
        <v>P867</v>
      </c>
      <c r="D7400" t="s">
        <v>823</v>
      </c>
    </row>
    <row r="7401" spans="1:4" outlineLevel="1" x14ac:dyDescent="0.25">
      <c r="A7401" t="s">
        <v>821</v>
      </c>
      <c r="B7401" t="s">
        <v>824</v>
      </c>
      <c r="C7401" s="1" t="str">
        <f>HYPERLINK("http://продеталь.рф/search.html?article=P950","P950")</f>
        <v>P950</v>
      </c>
      <c r="D7401" t="s">
        <v>823</v>
      </c>
    </row>
    <row r="7402" spans="1:4" outlineLevel="1" x14ac:dyDescent="0.25">
      <c r="A7402" t="s">
        <v>821</v>
      </c>
      <c r="B7402" t="s">
        <v>824</v>
      </c>
      <c r="C7402" s="1" t="str">
        <f>HYPERLINK("http://продеталь.рф/search.html?article=P955","P955")</f>
        <v>P955</v>
      </c>
      <c r="D7402" t="s">
        <v>823</v>
      </c>
    </row>
    <row r="7403" spans="1:4" outlineLevel="1" x14ac:dyDescent="0.25">
      <c r="A7403" t="s">
        <v>821</v>
      </c>
      <c r="B7403" t="s">
        <v>824</v>
      </c>
      <c r="C7403" s="1" t="str">
        <f>HYPERLINK("http://продеталь.рф/search.html?article=P974","P974")</f>
        <v>P974</v>
      </c>
      <c r="D7403" t="s">
        <v>823</v>
      </c>
    </row>
    <row r="7404" spans="1:4" outlineLevel="1" x14ac:dyDescent="0.25">
      <c r="A7404" t="s">
        <v>821</v>
      </c>
      <c r="B7404" t="s">
        <v>824</v>
      </c>
      <c r="C7404" s="1" t="str">
        <f>HYPERLINK("http://продеталь.рф/search.html?article=P979","P979")</f>
        <v>P979</v>
      </c>
      <c r="D7404" t="s">
        <v>823</v>
      </c>
    </row>
    <row r="7405" spans="1:4" outlineLevel="1" x14ac:dyDescent="0.25">
      <c r="A7405" t="s">
        <v>821</v>
      </c>
      <c r="B7405" t="s">
        <v>824</v>
      </c>
      <c r="C7405" s="1" t="str">
        <f>HYPERLINK("http://продеталь.рф/search.html?article=P989","P989")</f>
        <v>P989</v>
      </c>
      <c r="D7405" t="s">
        <v>823</v>
      </c>
    </row>
    <row r="7406" spans="1:4" outlineLevel="1" x14ac:dyDescent="0.25">
      <c r="A7406" t="s">
        <v>821</v>
      </c>
      <c r="B7406" t="s">
        <v>824</v>
      </c>
      <c r="C7406" s="1" t="str">
        <f>HYPERLINK("http://продеталь.рф/search.html?article=P1033","P1033")</f>
        <v>P1033</v>
      </c>
      <c r="D7406" t="s">
        <v>823</v>
      </c>
    </row>
    <row r="7407" spans="1:4" outlineLevel="1" x14ac:dyDescent="0.25">
      <c r="A7407" t="s">
        <v>821</v>
      </c>
      <c r="B7407" t="s">
        <v>824</v>
      </c>
      <c r="C7407" s="1" t="str">
        <f>HYPERLINK("http://продеталь.рф/search.html?article=P1039","P1039")</f>
        <v>P1039</v>
      </c>
      <c r="D7407" t="s">
        <v>823</v>
      </c>
    </row>
    <row r="7408" spans="1:4" outlineLevel="1" x14ac:dyDescent="0.25">
      <c r="A7408" t="s">
        <v>821</v>
      </c>
      <c r="B7408" t="s">
        <v>824</v>
      </c>
      <c r="C7408" s="1" t="str">
        <f>HYPERLINK("http://продеталь.рф/search.html?article=G1051","G1051")</f>
        <v>G1051</v>
      </c>
      <c r="D7408" t="s">
        <v>823</v>
      </c>
    </row>
    <row r="7409" spans="1:4" outlineLevel="1" x14ac:dyDescent="0.25">
      <c r="A7409" t="s">
        <v>821</v>
      </c>
      <c r="B7409" t="s">
        <v>824</v>
      </c>
      <c r="C7409" s="1" t="str">
        <f>HYPERLINK("http://продеталь.рф/search.html?article=P1085","P1085")</f>
        <v>P1085</v>
      </c>
      <c r="D7409" t="s">
        <v>823</v>
      </c>
    </row>
    <row r="7410" spans="1:4" outlineLevel="1" x14ac:dyDescent="0.25">
      <c r="A7410" t="s">
        <v>821</v>
      </c>
      <c r="B7410" t="s">
        <v>824</v>
      </c>
      <c r="C7410" s="1" t="str">
        <f>HYPERLINK("http://продеталь.рф/search.html?article=P1144","P1144")</f>
        <v>P1144</v>
      </c>
      <c r="D7410" t="s">
        <v>823</v>
      </c>
    </row>
    <row r="7411" spans="1:4" outlineLevel="1" x14ac:dyDescent="0.25">
      <c r="A7411" t="s">
        <v>821</v>
      </c>
      <c r="B7411" t="s">
        <v>824</v>
      </c>
      <c r="C7411" s="1" t="str">
        <f>HYPERLINK("http://продеталь.рф/search.html?article=P1151","P1151")</f>
        <v>P1151</v>
      </c>
      <c r="D7411" t="s">
        <v>823</v>
      </c>
    </row>
    <row r="7412" spans="1:4" outlineLevel="1" x14ac:dyDescent="0.25">
      <c r="A7412" t="s">
        <v>821</v>
      </c>
      <c r="B7412" t="s">
        <v>824</v>
      </c>
      <c r="C7412" s="1" t="str">
        <f>HYPERLINK("http://продеталь.рф/search.html?article=P1172","P1172")</f>
        <v>P1172</v>
      </c>
      <c r="D7412" t="s">
        <v>823</v>
      </c>
    </row>
    <row r="7413" spans="1:4" outlineLevel="1" x14ac:dyDescent="0.25">
      <c r="A7413" t="s">
        <v>821</v>
      </c>
      <c r="B7413" t="s">
        <v>824</v>
      </c>
      <c r="C7413" s="1" t="str">
        <f>HYPERLINK("http://продеталь.рф/search.html?article=P1178","P1178")</f>
        <v>P1178</v>
      </c>
      <c r="D7413" t="s">
        <v>823</v>
      </c>
    </row>
    <row r="7414" spans="1:4" outlineLevel="1" x14ac:dyDescent="0.25">
      <c r="A7414" t="s">
        <v>821</v>
      </c>
      <c r="B7414" t="s">
        <v>824</v>
      </c>
      <c r="C7414" s="1" t="str">
        <f>HYPERLINK("http://продеталь.рф/search.html?article=P1196","P1196")</f>
        <v>P1196</v>
      </c>
      <c r="D7414" t="s">
        <v>823</v>
      </c>
    </row>
    <row r="7415" spans="1:4" outlineLevel="1" x14ac:dyDescent="0.25">
      <c r="A7415" t="s">
        <v>821</v>
      </c>
      <c r="B7415" t="s">
        <v>824</v>
      </c>
      <c r="C7415" s="1" t="str">
        <f>HYPERLINK("http://продеталь.рф/search.html?article=P1198","P1198")</f>
        <v>P1198</v>
      </c>
      <c r="D7415" t="s">
        <v>823</v>
      </c>
    </row>
    <row r="7416" spans="1:4" outlineLevel="1" x14ac:dyDescent="0.25">
      <c r="A7416" t="s">
        <v>821</v>
      </c>
      <c r="B7416" t="s">
        <v>824</v>
      </c>
      <c r="C7416" s="1" t="str">
        <f>HYPERLINK("http://продеталь.рф/search.html?article=P1241","P1241")</f>
        <v>P1241</v>
      </c>
      <c r="D7416" t="s">
        <v>823</v>
      </c>
    </row>
    <row r="7417" spans="1:4" outlineLevel="1" x14ac:dyDescent="0.25">
      <c r="A7417" t="s">
        <v>821</v>
      </c>
      <c r="B7417" t="s">
        <v>824</v>
      </c>
      <c r="C7417" s="1" t="str">
        <f>HYPERLINK("http://продеталь.рф/search.html?article=P1266","P1266")</f>
        <v>P1266</v>
      </c>
      <c r="D7417" t="s">
        <v>823</v>
      </c>
    </row>
    <row r="7418" spans="1:4" outlineLevel="1" x14ac:dyDescent="0.25">
      <c r="A7418" t="s">
        <v>821</v>
      </c>
      <c r="B7418" t="s">
        <v>824</v>
      </c>
      <c r="C7418" s="1" t="str">
        <f>HYPERLINK("http://продеталь.рф/search.html?article=P1269","P1269")</f>
        <v>P1269</v>
      </c>
      <c r="D7418" t="s">
        <v>823</v>
      </c>
    </row>
    <row r="7419" spans="1:4" outlineLevel="1" x14ac:dyDescent="0.25">
      <c r="A7419" t="s">
        <v>821</v>
      </c>
      <c r="B7419" t="s">
        <v>824</v>
      </c>
      <c r="C7419" s="1" t="str">
        <f>HYPERLINK("http://продеталь.рф/search.html?article=P1280","P1280")</f>
        <v>P1280</v>
      </c>
      <c r="D7419" t="s">
        <v>823</v>
      </c>
    </row>
    <row r="7420" spans="1:4" outlineLevel="1" x14ac:dyDescent="0.25">
      <c r="A7420" t="s">
        <v>821</v>
      </c>
      <c r="B7420" t="s">
        <v>824</v>
      </c>
      <c r="C7420" s="1" t="str">
        <f>HYPERLINK("http://продеталь.рф/search.html?article=P1346","P1346")</f>
        <v>P1346</v>
      </c>
      <c r="D7420" t="s">
        <v>823</v>
      </c>
    </row>
    <row r="7421" spans="1:4" outlineLevel="1" x14ac:dyDescent="0.25">
      <c r="A7421" t="s">
        <v>821</v>
      </c>
      <c r="B7421" t="s">
        <v>824</v>
      </c>
      <c r="C7421" s="1" t="str">
        <f>HYPERLINK("http://продеталь.рф/search.html?article=P1351","P1351")</f>
        <v>P1351</v>
      </c>
      <c r="D7421" t="s">
        <v>823</v>
      </c>
    </row>
    <row r="7422" spans="1:4" outlineLevel="1" x14ac:dyDescent="0.25">
      <c r="A7422" t="s">
        <v>821</v>
      </c>
      <c r="B7422" t="s">
        <v>824</v>
      </c>
      <c r="C7422" s="1" t="str">
        <f>HYPERLINK("http://продеталь.рф/search.html?article=P1354","P1354")</f>
        <v>P1354</v>
      </c>
      <c r="D7422" t="s">
        <v>823</v>
      </c>
    </row>
    <row r="7423" spans="1:4" outlineLevel="1" x14ac:dyDescent="0.25">
      <c r="A7423" t="s">
        <v>821</v>
      </c>
      <c r="B7423" t="s">
        <v>824</v>
      </c>
      <c r="C7423" s="1" t="str">
        <f>HYPERLINK("http://продеталь.рф/search.html?article=P1355","P1355")</f>
        <v>P1355</v>
      </c>
      <c r="D7423" t="s">
        <v>823</v>
      </c>
    </row>
    <row r="7424" spans="1:4" outlineLevel="1" x14ac:dyDescent="0.25">
      <c r="A7424" t="s">
        <v>821</v>
      </c>
      <c r="B7424" t="s">
        <v>824</v>
      </c>
      <c r="C7424" s="1" t="str">
        <f>HYPERLINK("http://продеталь.рф/search.html?article=P1387","P1387")</f>
        <v>P1387</v>
      </c>
      <c r="D7424" t="s">
        <v>823</v>
      </c>
    </row>
    <row r="7425" spans="1:4" outlineLevel="1" x14ac:dyDescent="0.25">
      <c r="A7425" t="s">
        <v>821</v>
      </c>
      <c r="B7425" t="s">
        <v>824</v>
      </c>
      <c r="C7425" s="1" t="str">
        <f>HYPERLINK("http://продеталь.рф/search.html?article=P1564","P1564")</f>
        <v>P1564</v>
      </c>
      <c r="D7425" t="s">
        <v>823</v>
      </c>
    </row>
    <row r="7426" spans="1:4" outlineLevel="1" x14ac:dyDescent="0.25">
      <c r="A7426" t="s">
        <v>821</v>
      </c>
      <c r="B7426" t="s">
        <v>824</v>
      </c>
      <c r="C7426" s="1" t="str">
        <f>HYPERLINK("http://продеталь.рф/search.html?article=P1585","P1585")</f>
        <v>P1585</v>
      </c>
      <c r="D7426" t="s">
        <v>823</v>
      </c>
    </row>
    <row r="7427" spans="1:4" outlineLevel="1" x14ac:dyDescent="0.25">
      <c r="A7427" t="s">
        <v>821</v>
      </c>
      <c r="B7427" t="s">
        <v>824</v>
      </c>
      <c r="C7427" s="1" t="str">
        <f>HYPERLINK("http://продеталь.рф/search.html?article=P1610","P1610")</f>
        <v>P1610</v>
      </c>
      <c r="D7427" t="s">
        <v>823</v>
      </c>
    </row>
    <row r="7428" spans="1:4" outlineLevel="1" x14ac:dyDescent="0.25">
      <c r="A7428" t="s">
        <v>821</v>
      </c>
      <c r="B7428" t="s">
        <v>824</v>
      </c>
      <c r="C7428" s="1" t="str">
        <f>HYPERLINK("http://продеталь.рф/search.html?article=P1616","P1616")</f>
        <v>P1616</v>
      </c>
      <c r="D7428" t="s">
        <v>823</v>
      </c>
    </row>
    <row r="7429" spans="1:4" outlineLevel="1" x14ac:dyDescent="0.25">
      <c r="A7429" t="s">
        <v>821</v>
      </c>
      <c r="B7429" t="s">
        <v>824</v>
      </c>
      <c r="C7429" s="1" t="str">
        <f>HYPERLINK("http://продеталь.рф/search.html?article=P1719","P1719")</f>
        <v>P1719</v>
      </c>
      <c r="D7429" t="s">
        <v>823</v>
      </c>
    </row>
    <row r="7430" spans="1:4" outlineLevel="1" x14ac:dyDescent="0.25">
      <c r="A7430" t="s">
        <v>821</v>
      </c>
      <c r="B7430" t="s">
        <v>824</v>
      </c>
      <c r="C7430" s="1" t="str">
        <f>HYPERLINK("http://продеталь.рф/search.html?article=P1837","P1837")</f>
        <v>P1837</v>
      </c>
      <c r="D7430" t="s">
        <v>823</v>
      </c>
    </row>
    <row r="7431" spans="1:4" outlineLevel="1" x14ac:dyDescent="0.25">
      <c r="A7431" t="s">
        <v>821</v>
      </c>
      <c r="B7431" t="s">
        <v>824</v>
      </c>
      <c r="C7431" s="1" t="str">
        <f>HYPERLINK("http://продеталь.рф/search.html?article=GA9","GA9")</f>
        <v>GA9</v>
      </c>
      <c r="D7431" t="s">
        <v>823</v>
      </c>
    </row>
    <row r="7432" spans="1:4" outlineLevel="1" x14ac:dyDescent="0.25">
      <c r="A7432" t="s">
        <v>821</v>
      </c>
      <c r="B7432" t="s">
        <v>824</v>
      </c>
      <c r="C7432" s="1" t="str">
        <f>HYPERLINK("http://продеталь.рф/search.html?article=PA18","PA18")</f>
        <v>PA18</v>
      </c>
      <c r="D7432" t="s">
        <v>823</v>
      </c>
    </row>
    <row r="7433" spans="1:4" x14ac:dyDescent="0.25">
      <c r="B7433" s="2"/>
      <c r="C7433" s="2"/>
      <c r="D7433" s="2"/>
    </row>
    <row r="7434" spans="1:4" outlineLevel="1" x14ac:dyDescent="0.25">
      <c r="B7434" t="s">
        <v>11</v>
      </c>
      <c r="C7434" s="1" t="str">
        <f>HYPERLINK("http://продеталь.рф/search.html?article=KA55100000100","KA55100000100")</f>
        <v>KA55100000100</v>
      </c>
      <c r="D7434" t="s">
        <v>9</v>
      </c>
    </row>
    <row r="7435" spans="1:4" outlineLevel="1" x14ac:dyDescent="0.25">
      <c r="B7435" t="s">
        <v>35</v>
      </c>
      <c r="C7435" s="1" t="str">
        <f>HYPERLINK("http://продеталь.рф/search.html?article=313008","313008")</f>
        <v>313008</v>
      </c>
      <c r="D7435" t="s">
        <v>21</v>
      </c>
    </row>
    <row r="7436" spans="1:4" outlineLevel="1" x14ac:dyDescent="0.25">
      <c r="B7436" t="s">
        <v>160</v>
      </c>
      <c r="C7436" s="1" t="str">
        <f>HYPERLINK("http://продеталь.рф/search.html?article=310935","310935")</f>
        <v>310935</v>
      </c>
      <c r="D7436" t="s">
        <v>21</v>
      </c>
    </row>
    <row r="7437" spans="1:4" outlineLevel="1" x14ac:dyDescent="0.25">
      <c r="B7437" t="s">
        <v>825</v>
      </c>
      <c r="C7437" s="1" t="str">
        <f>HYPERLINK("http://продеталь.рф/search.html?article=","")</f>
        <v/>
      </c>
      <c r="D7437" t="s">
        <v>826</v>
      </c>
    </row>
    <row r="7438" spans="1:4" outlineLevel="1" x14ac:dyDescent="0.25">
      <c r="B7438" t="s">
        <v>825</v>
      </c>
      <c r="C7438" s="1" t="str">
        <f>HYPERLINK("http://продеталь.рф/search.html?article=","")</f>
        <v/>
      </c>
      <c r="D7438" t="s">
        <v>826</v>
      </c>
    </row>
    <row r="7439" spans="1:4" outlineLevel="1" x14ac:dyDescent="0.25">
      <c r="B7439" t="s">
        <v>37</v>
      </c>
      <c r="C7439" s="1" t="str">
        <f>HYPERLINK("http://продеталь.рф/search.html?article=1506254","1506254")</f>
        <v>1506254</v>
      </c>
      <c r="D7439" t="s">
        <v>58</v>
      </c>
    </row>
    <row r="7440" spans="1:4" outlineLevel="1" x14ac:dyDescent="0.25">
      <c r="B7440" t="s">
        <v>37</v>
      </c>
      <c r="C7440" s="1" t="str">
        <f>HYPERLINK("http://продеталь.рф/search.html?article=PPG88004L","PPG88004L")</f>
        <v>PPG88004L</v>
      </c>
      <c r="D7440" t="s">
        <v>826</v>
      </c>
    </row>
    <row r="7441" spans="2:4" outlineLevel="1" x14ac:dyDescent="0.25">
      <c r="B7441" t="s">
        <v>27</v>
      </c>
      <c r="C7441" s="1" t="str">
        <f>HYPERLINK("http://продеталь.рф/search.html?article=PFD30137A","PFD30137A")</f>
        <v>PFD30137A</v>
      </c>
      <c r="D7441" t="s">
        <v>6</v>
      </c>
    </row>
    <row r="7442" spans="2:4" outlineLevel="1" x14ac:dyDescent="0.25">
      <c r="B7442" t="s">
        <v>27</v>
      </c>
      <c r="C7442" s="1" t="str">
        <f>HYPERLINK("http://продеталь.рф/search.html?article=10IFR0110153","10IFR0110153")</f>
        <v>10IFR0110153</v>
      </c>
      <c r="D7442" t="s">
        <v>827</v>
      </c>
    </row>
    <row r="7443" spans="2:4" outlineLevel="1" x14ac:dyDescent="0.25">
      <c r="B7443" t="s">
        <v>3</v>
      </c>
      <c r="C7443" s="1" t="str">
        <f>HYPERLINK("http://продеталь.рф/search.html?article=20B794B62B","20B794B62B")</f>
        <v>20B794B62B</v>
      </c>
      <c r="D7443" t="s">
        <v>4</v>
      </c>
    </row>
    <row r="7444" spans="2:4" outlineLevel="1" x14ac:dyDescent="0.25">
      <c r="B7444" t="s">
        <v>3</v>
      </c>
      <c r="C7444" s="1" t="str">
        <f>HYPERLINK("http://продеталь.рф/search.html?article=20E312052B","20E312052B")</f>
        <v>20E312052B</v>
      </c>
      <c r="D7444" t="s">
        <v>4</v>
      </c>
    </row>
    <row r="7445" spans="2:4" outlineLevel="1" x14ac:dyDescent="0.25">
      <c r="B7445" t="s">
        <v>5</v>
      </c>
      <c r="C7445" s="1" t="str">
        <f>HYPERLINK("http://продеталь.рф/search.html?article=DAC15SA002","DAC15SA002")</f>
        <v>DAC15SA002</v>
      </c>
      <c r="D7445" t="s">
        <v>182</v>
      </c>
    </row>
    <row r="7446" spans="2:4" outlineLevel="1" x14ac:dyDescent="0.25">
      <c r="B7446" t="s">
        <v>5</v>
      </c>
      <c r="C7446" s="1" t="str">
        <f>HYPERLINK("http://продеталь.рф/search.html?article=DAC15SA001","DAC15SA001")</f>
        <v>DAC15SA001</v>
      </c>
      <c r="D7446" t="s">
        <v>182</v>
      </c>
    </row>
    <row r="7447" spans="2:4" outlineLevel="1" x14ac:dyDescent="0.25">
      <c r="B7447" t="s">
        <v>5</v>
      </c>
      <c r="C7447" s="1" t="str">
        <f>HYPERLINK("http://продеталь.рф/search.html?article=VW11078AR","VW11078AR")</f>
        <v>VW11078AR</v>
      </c>
      <c r="D7447" t="s">
        <v>2</v>
      </c>
    </row>
    <row r="7448" spans="2:4" outlineLevel="1" x14ac:dyDescent="0.25">
      <c r="B7448" t="s">
        <v>5</v>
      </c>
      <c r="C7448" s="1" t="str">
        <f>HYPERLINK("http://продеталь.рф/search.html?article=","")</f>
        <v/>
      </c>
      <c r="D7448" t="s">
        <v>826</v>
      </c>
    </row>
    <row r="7449" spans="2:4" outlineLevel="1" x14ac:dyDescent="0.25">
      <c r="B7449" t="s">
        <v>12</v>
      </c>
      <c r="C7449" s="1" t="str">
        <f>HYPERLINK("http://продеталь.рф/search.html?article=PVW07101GA","PVW07101GA")</f>
        <v>PVW07101GA</v>
      </c>
      <c r="D7449" t="s">
        <v>826</v>
      </c>
    </row>
    <row r="7450" spans="2:4" outlineLevel="1" x14ac:dyDescent="0.25">
      <c r="B7450" t="s">
        <v>188</v>
      </c>
      <c r="C7450" s="1" t="str">
        <f>HYPERLINK("http://продеталь.рф/search.html?article=SBZ1180L","SBZ1180L")</f>
        <v>SBZ1180L</v>
      </c>
      <c r="D7450" t="s">
        <v>63</v>
      </c>
    </row>
    <row r="7451" spans="2:4" outlineLevel="1" x14ac:dyDescent="0.25">
      <c r="B7451" t="s">
        <v>188</v>
      </c>
      <c r="C7451" s="1" t="str">
        <f>HYPERLINK("http://продеталь.рф/search.html?article=SBZ1170L","SBZ1170L")</f>
        <v>SBZ1170L</v>
      </c>
      <c r="D7451" t="s">
        <v>63</v>
      </c>
    </row>
    <row r="7452" spans="2:4" outlineLevel="1" x14ac:dyDescent="0.25">
      <c r="B7452" t="s">
        <v>189</v>
      </c>
      <c r="C7452" s="1" t="str">
        <f>HYPERLINK("http://продеталь.рф/search.html?article=SBZ1180R","SBZ1180R")</f>
        <v>SBZ1180R</v>
      </c>
      <c r="D7452" t="s">
        <v>63</v>
      </c>
    </row>
    <row r="7453" spans="2:4" outlineLevel="1" x14ac:dyDescent="0.25">
      <c r="B7453" t="s">
        <v>189</v>
      </c>
      <c r="C7453" s="1" t="str">
        <f>HYPERLINK("http://продеталь.рф/search.html?article=SBZ1170R","SBZ1170R")</f>
        <v>SBZ1170R</v>
      </c>
      <c r="D7453" t="s">
        <v>63</v>
      </c>
    </row>
    <row r="7454" spans="2:4" outlineLevel="1" x14ac:dyDescent="0.25">
      <c r="B7454" t="s">
        <v>13</v>
      </c>
      <c r="C7454" s="1" t="str">
        <f>HYPERLINK("http://продеталь.рф/search.html?article=PDW44007A","PDW44007A")</f>
        <v>PDW44007A</v>
      </c>
      <c r="D7454" t="s">
        <v>6</v>
      </c>
    </row>
    <row r="7455" spans="2:4" outlineLevel="1" x14ac:dyDescent="0.25">
      <c r="B7455" t="s">
        <v>726</v>
      </c>
      <c r="C7455" s="1" t="str">
        <f>HYPERLINK("http://продеталь.рф/search.html?article=2011571MA1","2011571MA1")</f>
        <v>2011571MA1</v>
      </c>
      <c r="D7455" t="s">
        <v>4</v>
      </c>
    </row>
    <row r="7456" spans="2:4" x14ac:dyDescent="0.25">
      <c r="B7456" s="2"/>
      <c r="C7456" s="2"/>
      <c r="D7456" s="2"/>
    </row>
  </sheetData>
  <sortState ref="A1:D7454">
    <sortCondition ref="A1:A7455"/>
  </sortState>
  <mergeCells count="569">
    <mergeCell ref="B2:D2"/>
    <mergeCell ref="B8:D8"/>
    <mergeCell ref="B10:D10"/>
    <mergeCell ref="B16:D16"/>
    <mergeCell ref="B21:D21"/>
    <mergeCell ref="B26:D26"/>
    <mergeCell ref="B212:D212"/>
    <mergeCell ref="B228:D228"/>
    <mergeCell ref="B247:D247"/>
    <mergeCell ref="B286:D286"/>
    <mergeCell ref="B312:D312"/>
    <mergeCell ref="B332:D332"/>
    <mergeCell ref="B32:D32"/>
    <mergeCell ref="B66:D66"/>
    <mergeCell ref="B124:D124"/>
    <mergeCell ref="B130:D130"/>
    <mergeCell ref="B173:D173"/>
    <mergeCell ref="B209:D209"/>
    <mergeCell ref="B444:D444"/>
    <mergeCell ref="B447:D447"/>
    <mergeCell ref="B450:D450"/>
    <mergeCell ref="B457:D457"/>
    <mergeCell ref="B467:D467"/>
    <mergeCell ref="B517:D517"/>
    <mergeCell ref="B345:D345"/>
    <mergeCell ref="B348:D348"/>
    <mergeCell ref="B367:D367"/>
    <mergeCell ref="B415:D415"/>
    <mergeCell ref="B435:D435"/>
    <mergeCell ref="B442:D442"/>
    <mergeCell ref="B755:D755"/>
    <mergeCell ref="B784:D784"/>
    <mergeCell ref="B794:D794"/>
    <mergeCell ref="B799:D799"/>
    <mergeCell ref="B811:D811"/>
    <mergeCell ref="B813:D813"/>
    <mergeCell ref="B590:D590"/>
    <mergeCell ref="B604:D604"/>
    <mergeCell ref="B606:D606"/>
    <mergeCell ref="B664:D664"/>
    <mergeCell ref="B721:D721"/>
    <mergeCell ref="B748:D748"/>
    <mergeCell ref="B857:D857"/>
    <mergeCell ref="B870:D870"/>
    <mergeCell ref="B872:D872"/>
    <mergeCell ref="B886:D886"/>
    <mergeCell ref="B891:D891"/>
    <mergeCell ref="B893:D893"/>
    <mergeCell ref="B816:D816"/>
    <mergeCell ref="B818:D818"/>
    <mergeCell ref="B820:D820"/>
    <mergeCell ref="B831:D831"/>
    <mergeCell ref="B844:D844"/>
    <mergeCell ref="B855:D855"/>
    <mergeCell ref="B976:D976"/>
    <mergeCell ref="B981:D981"/>
    <mergeCell ref="B990:D990"/>
    <mergeCell ref="B1014:D1014"/>
    <mergeCell ref="B1024:D1024"/>
    <mergeCell ref="B1042:D1042"/>
    <mergeCell ref="B909:D909"/>
    <mergeCell ref="B914:D914"/>
    <mergeCell ref="B924:D924"/>
    <mergeCell ref="B944:D944"/>
    <mergeCell ref="B959:D959"/>
    <mergeCell ref="B968:D968"/>
    <mergeCell ref="B1115:D1115"/>
    <mergeCell ref="B1130:D1130"/>
    <mergeCell ref="B1136:D1136"/>
    <mergeCell ref="B1150:D1150"/>
    <mergeCell ref="B1176:D1176"/>
    <mergeCell ref="B1194:D1194"/>
    <mergeCell ref="B1053:D1053"/>
    <mergeCell ref="B1066:D1066"/>
    <mergeCell ref="B1072:D1072"/>
    <mergeCell ref="B1090:D1090"/>
    <mergeCell ref="B1093:D1093"/>
    <mergeCell ref="B1109:D1109"/>
    <mergeCell ref="B1223:D1223"/>
    <mergeCell ref="B1236:D1236"/>
    <mergeCell ref="B1238:D1238"/>
    <mergeCell ref="B1241:D1241"/>
    <mergeCell ref="B1249:D1249"/>
    <mergeCell ref="B1268:D1268"/>
    <mergeCell ref="B1196:D1196"/>
    <mergeCell ref="B1202:D1202"/>
    <mergeCell ref="B1204:D1204"/>
    <mergeCell ref="B1209:D1209"/>
    <mergeCell ref="B1217:D1217"/>
    <mergeCell ref="B1221:D1221"/>
    <mergeCell ref="B1315:D1315"/>
    <mergeCell ref="B1325:D1325"/>
    <mergeCell ref="B1331:D1331"/>
    <mergeCell ref="B1336:D1336"/>
    <mergeCell ref="B1354:D1354"/>
    <mergeCell ref="B1364:D1364"/>
    <mergeCell ref="B1270:D1270"/>
    <mergeCell ref="B1276:D1276"/>
    <mergeCell ref="B1296:D1296"/>
    <mergeCell ref="B1303:D1303"/>
    <mergeCell ref="B1311:D1311"/>
    <mergeCell ref="B1313:D1313"/>
    <mergeCell ref="B1427:D1427"/>
    <mergeCell ref="B1432:D1432"/>
    <mergeCell ref="B1434:D1434"/>
    <mergeCell ref="B1437:D1437"/>
    <mergeCell ref="B1442:D1442"/>
    <mergeCell ref="B1458:D1458"/>
    <mergeCell ref="B1366:D1366"/>
    <mergeCell ref="B1370:D1370"/>
    <mergeCell ref="B1381:D1381"/>
    <mergeCell ref="B1390:D1390"/>
    <mergeCell ref="B1402:D1402"/>
    <mergeCell ref="B1412:D1412"/>
    <mergeCell ref="B1517:D1517"/>
    <mergeCell ref="B1529:D1529"/>
    <mergeCell ref="B1535:D1535"/>
    <mergeCell ref="B1563:D1563"/>
    <mergeCell ref="B1576:D1576"/>
    <mergeCell ref="B1624:D1624"/>
    <mergeCell ref="B1475:D1475"/>
    <mergeCell ref="B1479:D1479"/>
    <mergeCell ref="B1484:D1484"/>
    <mergeCell ref="B1488:D1488"/>
    <mergeCell ref="B1499:D1499"/>
    <mergeCell ref="B1510:D1510"/>
    <mergeCell ref="B1783:D1783"/>
    <mergeCell ref="B1799:D1799"/>
    <mergeCell ref="B1825:D1825"/>
    <mergeCell ref="B1837:D1837"/>
    <mergeCell ref="B1873:D1873"/>
    <mergeCell ref="B1897:D1897"/>
    <mergeCell ref="B1641:D1641"/>
    <mergeCell ref="B1692:D1692"/>
    <mergeCell ref="B1720:D1720"/>
    <mergeCell ref="B1742:D1742"/>
    <mergeCell ref="B1752:D1752"/>
    <mergeCell ref="B1778:D1778"/>
    <mergeCell ref="B1945:D1945"/>
    <mergeCell ref="B1966:D1966"/>
    <mergeCell ref="B1978:D1978"/>
    <mergeCell ref="B2000:D2000"/>
    <mergeCell ref="B2010:D2010"/>
    <mergeCell ref="B2025:D2025"/>
    <mergeCell ref="B1904:D1904"/>
    <mergeCell ref="B1906:D1906"/>
    <mergeCell ref="B1913:D1913"/>
    <mergeCell ref="B1925:D1925"/>
    <mergeCell ref="B1928:D1928"/>
    <mergeCell ref="B1930:D1930"/>
    <mergeCell ref="B2102:D2102"/>
    <mergeCell ref="B2107:D2107"/>
    <mergeCell ref="B2110:D2110"/>
    <mergeCell ref="B2122:D2122"/>
    <mergeCell ref="B2145:D2145"/>
    <mergeCell ref="B2164:D2164"/>
    <mergeCell ref="B2028:D2028"/>
    <mergeCell ref="B2053:D2053"/>
    <mergeCell ref="B2060:D2060"/>
    <mergeCell ref="B2077:D2077"/>
    <mergeCell ref="B2083:D2083"/>
    <mergeCell ref="B2087:D2087"/>
    <mergeCell ref="B2300:D2300"/>
    <mergeCell ref="B2331:D2331"/>
    <mergeCell ref="B2335:D2335"/>
    <mergeCell ref="B2346:D2346"/>
    <mergeCell ref="B2354:D2354"/>
    <mergeCell ref="B2373:D2373"/>
    <mergeCell ref="B2173:D2173"/>
    <mergeCell ref="B2192:D2192"/>
    <mergeCell ref="B2199:D2199"/>
    <mergeCell ref="B2247:D2247"/>
    <mergeCell ref="B2249:D2249"/>
    <mergeCell ref="B2276:D2276"/>
    <mergeCell ref="B2432:D2432"/>
    <mergeCell ref="B2434:D2434"/>
    <mergeCell ref="B2436:D2436"/>
    <mergeCell ref="B2442:D2442"/>
    <mergeCell ref="B2449:D2449"/>
    <mergeCell ref="B2460:D2460"/>
    <mergeCell ref="B2380:D2380"/>
    <mergeCell ref="B2397:D2397"/>
    <mergeCell ref="B2406:D2406"/>
    <mergeCell ref="B2408:D2408"/>
    <mergeCell ref="B2427:D2427"/>
    <mergeCell ref="B2430:D2430"/>
    <mergeCell ref="B2512:D2512"/>
    <mergeCell ref="B2514:D2514"/>
    <mergeCell ref="B2521:D2521"/>
    <mergeCell ref="B2533:D2533"/>
    <mergeCell ref="B2550:D2550"/>
    <mergeCell ref="B2562:D2562"/>
    <mergeCell ref="B2465:D2465"/>
    <mergeCell ref="B2482:D2482"/>
    <mergeCell ref="B2490:D2490"/>
    <mergeCell ref="B2502:D2502"/>
    <mergeCell ref="B2505:D2505"/>
    <mergeCell ref="B2509:D2509"/>
    <mergeCell ref="B2630:D2630"/>
    <mergeCell ref="B2633:D2633"/>
    <mergeCell ref="B2638:D2638"/>
    <mergeCell ref="B2653:D2653"/>
    <mergeCell ref="B2669:D2669"/>
    <mergeCell ref="B2672:D2672"/>
    <mergeCell ref="B2576:D2576"/>
    <mergeCell ref="B2586:D2586"/>
    <mergeCell ref="B2597:D2597"/>
    <mergeCell ref="B2615:D2615"/>
    <mergeCell ref="B2621:D2621"/>
    <mergeCell ref="B2627:D2627"/>
    <mergeCell ref="B2720:D2720"/>
    <mergeCell ref="B2729:D2729"/>
    <mergeCell ref="B2737:D2737"/>
    <mergeCell ref="B2739:D2739"/>
    <mergeCell ref="B2742:D2742"/>
    <mergeCell ref="B2745:D2745"/>
    <mergeCell ref="B2679:D2679"/>
    <mergeCell ref="B2691:D2691"/>
    <mergeCell ref="B2695:D2695"/>
    <mergeCell ref="B2699:D2699"/>
    <mergeCell ref="B2702:D2702"/>
    <mergeCell ref="B2706:D2706"/>
    <mergeCell ref="B2791:D2791"/>
    <mergeCell ref="B2793:D2793"/>
    <mergeCell ref="B2795:D2795"/>
    <mergeCell ref="B2808:D2808"/>
    <mergeCell ref="B2810:D2810"/>
    <mergeCell ref="B2817:D2817"/>
    <mergeCell ref="B2751:D2751"/>
    <mergeCell ref="B2757:D2757"/>
    <mergeCell ref="B2762:D2762"/>
    <mergeCell ref="B2775:D2775"/>
    <mergeCell ref="B2786:D2786"/>
    <mergeCell ref="B2788:D2788"/>
    <mergeCell ref="B2893:D2893"/>
    <mergeCell ref="B2945:D2945"/>
    <mergeCell ref="B2987:D2987"/>
    <mergeCell ref="B2992:D2992"/>
    <mergeCell ref="B2996:D2996"/>
    <mergeCell ref="B3012:D3012"/>
    <mergeCell ref="B2824:D2824"/>
    <mergeCell ref="B2827:D2827"/>
    <mergeCell ref="B2836:D2836"/>
    <mergeCell ref="B2853:D2853"/>
    <mergeCell ref="B2871:D2871"/>
    <mergeCell ref="B2877:D2877"/>
    <mergeCell ref="B3156:D3156"/>
    <mergeCell ref="B3165:D3165"/>
    <mergeCell ref="B3177:D3177"/>
    <mergeCell ref="B3193:D3193"/>
    <mergeCell ref="B3206:D3206"/>
    <mergeCell ref="B3211:D3211"/>
    <mergeCell ref="B3040:D3040"/>
    <mergeCell ref="B3043:D3043"/>
    <mergeCell ref="B3049:D3049"/>
    <mergeCell ref="B3062:D3062"/>
    <mergeCell ref="B3118:D3118"/>
    <mergeCell ref="B3151:D3151"/>
    <mergeCell ref="B3287:D3287"/>
    <mergeCell ref="B3290:D3290"/>
    <mergeCell ref="B3346:D3346"/>
    <mergeCell ref="B3384:D3384"/>
    <mergeCell ref="B3400:D3400"/>
    <mergeCell ref="B3402:D3402"/>
    <mergeCell ref="B3214:D3214"/>
    <mergeCell ref="B3220:D3220"/>
    <mergeCell ref="B3233:D3233"/>
    <mergeCell ref="B3240:D3240"/>
    <mergeCell ref="B3253:D3253"/>
    <mergeCell ref="B3277:D3277"/>
    <mergeCell ref="B3531:D3531"/>
    <mergeCell ref="B3533:D3533"/>
    <mergeCell ref="B3536:D3536"/>
    <mergeCell ref="B3558:D3558"/>
    <mergeCell ref="B3572:D3572"/>
    <mergeCell ref="B3593:D3593"/>
    <mergeCell ref="B3404:D3404"/>
    <mergeCell ref="B3452:D3452"/>
    <mergeCell ref="B3490:D3490"/>
    <mergeCell ref="B3495:D3495"/>
    <mergeCell ref="B3509:D3509"/>
    <mergeCell ref="B3514:D3514"/>
    <mergeCell ref="B3726:D3726"/>
    <mergeCell ref="B3741:D3741"/>
    <mergeCell ref="B3749:D3749"/>
    <mergeCell ref="B3753:D3753"/>
    <mergeCell ref="B3759:D3759"/>
    <mergeCell ref="B3763:D3763"/>
    <mergeCell ref="B3617:D3617"/>
    <mergeCell ref="B3623:D3623"/>
    <mergeCell ref="B3631:D3631"/>
    <mergeCell ref="B3678:D3678"/>
    <mergeCell ref="B3681:D3681"/>
    <mergeCell ref="B3700:D3700"/>
    <mergeCell ref="B3838:D3838"/>
    <mergeCell ref="B3847:D3847"/>
    <mergeCell ref="B3862:D3862"/>
    <mergeCell ref="B3865:D3865"/>
    <mergeCell ref="B3871:D3871"/>
    <mergeCell ref="B3882:D3882"/>
    <mergeCell ref="B3772:D3772"/>
    <mergeCell ref="B3774:D3774"/>
    <mergeCell ref="B3789:D3789"/>
    <mergeCell ref="B3792:D3792"/>
    <mergeCell ref="B3795:D3795"/>
    <mergeCell ref="B3805:D3805"/>
    <mergeCell ref="B3995:D3995"/>
    <mergeCell ref="B4003:D4003"/>
    <mergeCell ref="B4012:D4012"/>
    <mergeCell ref="B4016:D4016"/>
    <mergeCell ref="B4027:D4027"/>
    <mergeCell ref="B4036:D4036"/>
    <mergeCell ref="B3891:D3891"/>
    <mergeCell ref="B3900:D3900"/>
    <mergeCell ref="B3938:D3938"/>
    <mergeCell ref="B3959:D3959"/>
    <mergeCell ref="B3973:D3973"/>
    <mergeCell ref="B3986:D3986"/>
    <mergeCell ref="B4118:D4118"/>
    <mergeCell ref="B4120:D4120"/>
    <mergeCell ref="B4136:D4136"/>
    <mergeCell ref="B4162:D4162"/>
    <mergeCell ref="B4164:D4164"/>
    <mergeCell ref="B4171:D4171"/>
    <mergeCell ref="B4062:D4062"/>
    <mergeCell ref="B4088:D4088"/>
    <mergeCell ref="B4095:D4095"/>
    <mergeCell ref="B4097:D4097"/>
    <mergeCell ref="B4104:D4104"/>
    <mergeCell ref="B4106:D4106"/>
    <mergeCell ref="B4239:D4239"/>
    <mergeCell ref="B4245:D4245"/>
    <mergeCell ref="B4247:D4247"/>
    <mergeCell ref="B4252:D4252"/>
    <mergeCell ref="B4266:D4266"/>
    <mergeCell ref="B4270:D4270"/>
    <mergeCell ref="B4173:D4173"/>
    <mergeCell ref="B4179:D4179"/>
    <mergeCell ref="B4185:D4185"/>
    <mergeCell ref="B4190:D4190"/>
    <mergeCell ref="B4209:D4209"/>
    <mergeCell ref="B4232:D4232"/>
    <mergeCell ref="B4315:D4315"/>
    <mergeCell ref="B4323:D4323"/>
    <mergeCell ref="B4329:D4329"/>
    <mergeCell ref="B4362:D4362"/>
    <mergeCell ref="B4406:D4406"/>
    <mergeCell ref="B4445:D4445"/>
    <mergeCell ref="B4272:D4272"/>
    <mergeCell ref="B4277:D4277"/>
    <mergeCell ref="B4283:D4283"/>
    <mergeCell ref="B4297:D4297"/>
    <mergeCell ref="B4302:D4302"/>
    <mergeCell ref="B4312:D4312"/>
    <mergeCell ref="B4589:D4589"/>
    <mergeCell ref="B4591:D4591"/>
    <mergeCell ref="B4595:D4595"/>
    <mergeCell ref="B4597:D4597"/>
    <mergeCell ref="B4606:D4606"/>
    <mergeCell ref="B4624:D4624"/>
    <mergeCell ref="B4460:D4460"/>
    <mergeCell ref="B4477:D4477"/>
    <mergeCell ref="B4517:D4517"/>
    <mergeCell ref="B4557:D4557"/>
    <mergeCell ref="B4563:D4563"/>
    <mergeCell ref="B4573:D4573"/>
    <mergeCell ref="B4771:D4771"/>
    <mergeCell ref="B4773:D4773"/>
    <mergeCell ref="B4775:D4775"/>
    <mergeCell ref="B4784:D4784"/>
    <mergeCell ref="B4786:D4786"/>
    <mergeCell ref="B4831:D4831"/>
    <mergeCell ref="B4631:D4631"/>
    <mergeCell ref="B4634:D4634"/>
    <mergeCell ref="B4674:D4674"/>
    <mergeCell ref="B4714:D4714"/>
    <mergeCell ref="B4737:D4737"/>
    <mergeCell ref="B4750:D4750"/>
    <mergeCell ref="B4937:D4937"/>
    <mergeCell ref="B4959:D4959"/>
    <mergeCell ref="B4980:D4980"/>
    <mergeCell ref="B4993:D4993"/>
    <mergeCell ref="B4996:D4996"/>
    <mergeCell ref="B5000:D5000"/>
    <mergeCell ref="B4835:D4835"/>
    <mergeCell ref="B4857:D4857"/>
    <mergeCell ref="B4864:D4864"/>
    <mergeCell ref="B4907:D4907"/>
    <mergeCell ref="B4928:D4928"/>
    <mergeCell ref="B4930:D4930"/>
    <mergeCell ref="B5069:D5069"/>
    <mergeCell ref="B5088:D5088"/>
    <mergeCell ref="B5114:D5114"/>
    <mergeCell ref="B5127:D5127"/>
    <mergeCell ref="B5129:D5129"/>
    <mergeCell ref="B5134:D5134"/>
    <mergeCell ref="B5002:D5002"/>
    <mergeCell ref="B5023:D5023"/>
    <mergeCell ref="B5028:D5028"/>
    <mergeCell ref="B5038:D5038"/>
    <mergeCell ref="B5044:D5044"/>
    <mergeCell ref="B5053:D5053"/>
    <mergeCell ref="B5227:D5227"/>
    <mergeCell ref="B5233:D5233"/>
    <mergeCell ref="B5246:D5246"/>
    <mergeCell ref="B5258:D5258"/>
    <mergeCell ref="B5281:D5281"/>
    <mergeCell ref="B5304:D5304"/>
    <mergeCell ref="B5142:D5142"/>
    <mergeCell ref="B5151:D5151"/>
    <mergeCell ref="B5163:D5163"/>
    <mergeCell ref="B5182:D5182"/>
    <mergeCell ref="B5190:D5190"/>
    <mergeCell ref="B5194:D5194"/>
    <mergeCell ref="B5373:D5373"/>
    <mergeCell ref="B5378:D5378"/>
    <mergeCell ref="B5380:D5380"/>
    <mergeCell ref="B5385:D5385"/>
    <mergeCell ref="B5389:D5389"/>
    <mergeCell ref="B5392:D5392"/>
    <mergeCell ref="B5306:D5306"/>
    <mergeCell ref="B5320:D5320"/>
    <mergeCell ref="B5329:D5329"/>
    <mergeCell ref="B5342:D5342"/>
    <mergeCell ref="B5356:D5356"/>
    <mergeCell ref="B5366:D5366"/>
    <mergeCell ref="B5423:D5423"/>
    <mergeCell ref="B5433:D5433"/>
    <mergeCell ref="B5443:D5443"/>
    <mergeCell ref="B5445:D5445"/>
    <mergeCell ref="B5450:D5450"/>
    <mergeCell ref="B5458:D5458"/>
    <mergeCell ref="B5395:D5395"/>
    <mergeCell ref="B5397:D5397"/>
    <mergeCell ref="B5400:D5400"/>
    <mergeCell ref="B5404:D5404"/>
    <mergeCell ref="B5406:D5406"/>
    <mergeCell ref="B5410:D5410"/>
    <mergeCell ref="B5556:D5556"/>
    <mergeCell ref="B5558:D5558"/>
    <mergeCell ref="B5570:D5570"/>
    <mergeCell ref="B5586:D5586"/>
    <mergeCell ref="B5603:D5603"/>
    <mergeCell ref="B5610:D5610"/>
    <mergeCell ref="B5461:D5461"/>
    <mergeCell ref="B5478:D5478"/>
    <mergeCell ref="B5488:D5488"/>
    <mergeCell ref="B5504:D5504"/>
    <mergeCell ref="B5526:D5526"/>
    <mergeCell ref="B5552:D5552"/>
    <mergeCell ref="B5669:D5669"/>
    <mergeCell ref="B5674:D5674"/>
    <mergeCell ref="B5688:D5688"/>
    <mergeCell ref="B5699:D5699"/>
    <mergeCell ref="B5701:D5701"/>
    <mergeCell ref="B5707:D5707"/>
    <mergeCell ref="B5617:D5617"/>
    <mergeCell ref="B5625:D5625"/>
    <mergeCell ref="B5628:D5628"/>
    <mergeCell ref="B5632:D5632"/>
    <mergeCell ref="B5643:D5643"/>
    <mergeCell ref="B5662:D5662"/>
    <mergeCell ref="B5808:D5808"/>
    <mergeCell ref="B5817:D5817"/>
    <mergeCell ref="B5828:D5828"/>
    <mergeCell ref="B5840:D5840"/>
    <mergeCell ref="B5872:D5872"/>
    <mergeCell ref="B5900:D5900"/>
    <mergeCell ref="B5720:D5720"/>
    <mergeCell ref="B5739:D5739"/>
    <mergeCell ref="B5741:D5741"/>
    <mergeCell ref="B5764:D5764"/>
    <mergeCell ref="B5784:D5784"/>
    <mergeCell ref="B5805:D5805"/>
    <mergeCell ref="B5996:D5996"/>
    <mergeCell ref="B6028:D6028"/>
    <mergeCell ref="B6056:D6056"/>
    <mergeCell ref="B6058:D6058"/>
    <mergeCell ref="B6078:D6078"/>
    <mergeCell ref="B6080:D6080"/>
    <mergeCell ref="B5908:D5908"/>
    <mergeCell ref="B5915:D5915"/>
    <mergeCell ref="B5932:D5932"/>
    <mergeCell ref="B5940:D5940"/>
    <mergeCell ref="B5959:D5959"/>
    <mergeCell ref="B5982:D5982"/>
    <mergeCell ref="B6151:D6151"/>
    <mergeCell ref="B6153:D6153"/>
    <mergeCell ref="B6156:D6156"/>
    <mergeCell ref="B6160:D6160"/>
    <mergeCell ref="B6179:D6179"/>
    <mergeCell ref="B6184:D6184"/>
    <mergeCell ref="B6104:D6104"/>
    <mergeCell ref="B6107:D6107"/>
    <mergeCell ref="B6127:D6127"/>
    <mergeCell ref="B6133:D6133"/>
    <mergeCell ref="B6139:D6139"/>
    <mergeCell ref="B6146:D6146"/>
    <mergeCell ref="B6305:D6305"/>
    <mergeCell ref="B6307:D6307"/>
    <mergeCell ref="B6311:D6311"/>
    <mergeCell ref="B6317:D6317"/>
    <mergeCell ref="B6333:D6333"/>
    <mergeCell ref="B6338:D6338"/>
    <mergeCell ref="B6191:D6191"/>
    <mergeCell ref="B6217:D6217"/>
    <mergeCell ref="B6236:D6236"/>
    <mergeCell ref="B6256:D6256"/>
    <mergeCell ref="B6277:D6277"/>
    <mergeCell ref="B6302:D6302"/>
    <mergeCell ref="B6435:D6435"/>
    <mergeCell ref="B6437:D6437"/>
    <mergeCell ref="B6440:D6440"/>
    <mergeCell ref="B6445:D6445"/>
    <mergeCell ref="B6447:D6447"/>
    <mergeCell ref="B6464:D6464"/>
    <mergeCell ref="B6340:D6340"/>
    <mergeCell ref="B6350:D6350"/>
    <mergeCell ref="B6353:D6353"/>
    <mergeCell ref="B6361:D6361"/>
    <mergeCell ref="B6387:D6387"/>
    <mergeCell ref="B6431:D6431"/>
    <mergeCell ref="B6515:D6515"/>
    <mergeCell ref="B6531:D6531"/>
    <mergeCell ref="B6542:D6542"/>
    <mergeCell ref="B6545:D6545"/>
    <mergeCell ref="B6594:D6594"/>
    <mergeCell ref="B6678:D6678"/>
    <mergeCell ref="B6470:D6470"/>
    <mergeCell ref="B6476:D6476"/>
    <mergeCell ref="B6480:D6480"/>
    <mergeCell ref="B6487:D6487"/>
    <mergeCell ref="B6491:D6491"/>
    <mergeCell ref="B6503:D6503"/>
    <mergeCell ref="B6824:D6824"/>
    <mergeCell ref="B6832:D6832"/>
    <mergeCell ref="B6844:D6844"/>
    <mergeCell ref="B6893:D6893"/>
    <mergeCell ref="B6930:D6930"/>
    <mergeCell ref="B6971:D6971"/>
    <mergeCell ref="B6724:D6724"/>
    <mergeCell ref="B6751:D6751"/>
    <mergeCell ref="B6762:D6762"/>
    <mergeCell ref="B6788:D6788"/>
    <mergeCell ref="B6811:D6811"/>
    <mergeCell ref="B6815:D6815"/>
    <mergeCell ref="B7094:D7094"/>
    <mergeCell ref="B7109:D7109"/>
    <mergeCell ref="B7132:D7132"/>
    <mergeCell ref="B7163:D7163"/>
    <mergeCell ref="B7186:D7186"/>
    <mergeCell ref="B7190:D7190"/>
    <mergeCell ref="B7003:D7003"/>
    <mergeCell ref="B7021:D7021"/>
    <mergeCell ref="B7033:D7033"/>
    <mergeCell ref="B7050:D7050"/>
    <mergeCell ref="B7052:D7052"/>
    <mergeCell ref="B7070:D7070"/>
    <mergeCell ref="B7295:D7295"/>
    <mergeCell ref="B7313:D7313"/>
    <mergeCell ref="B7325:D7325"/>
    <mergeCell ref="B7433:D7433"/>
    <mergeCell ref="B7456:D7456"/>
    <mergeCell ref="B7198:D7198"/>
    <mergeCell ref="B7208:D7208"/>
    <mergeCell ref="B7223:D7223"/>
    <mergeCell ref="B7235:D7235"/>
    <mergeCell ref="B7237:D7237"/>
    <mergeCell ref="B7240:D72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pr.agent</dc:creator>
  <cp:lastModifiedBy>Пользователь</cp:lastModifiedBy>
  <dcterms:created xsi:type="dcterms:W3CDTF">2015-11-30T14:21:01Z</dcterms:created>
  <dcterms:modified xsi:type="dcterms:W3CDTF">2016-04-22T07:05:05Z</dcterms:modified>
</cp:coreProperties>
</file>